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JEAN Felipe M\OBRAS 2022\REFORMA UBS SESA\LICITAÇÃO\bnh\"/>
    </mc:Choice>
  </mc:AlternateContent>
  <xr:revisionPtr revIDLastSave="0" documentId="13_ncr:1_{7B3CB80F-D9BC-4475-B89E-DEB9735B57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ORÇAMENTO!$A$10:$G$28</definedName>
    <definedName name="_xlnm.Print_Area" localSheetId="2">BDI!$A$1:$E$46</definedName>
    <definedName name="_xlnm.Print_Area" localSheetId="1">CRONOGRAMA!$A$1:$V$31</definedName>
    <definedName name="_xlnm.Print_Area" localSheetId="0">ORÇAMENTO!$A$1:$G$51</definedName>
    <definedName name="Import.CR">[1]Dados!$G$8</definedName>
    <definedName name="Import.Município">[1]Dados!$G$7</definedName>
    <definedName name="Import.Proponente">[1]Dados!$G$6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2" l="1"/>
  <c r="H24" i="2"/>
  <c r="H23" i="2"/>
  <c r="H22" i="2"/>
  <c r="D25" i="2"/>
  <c r="D24" i="2"/>
  <c r="D23" i="2"/>
  <c r="D22" i="2"/>
  <c r="C25" i="2"/>
  <c r="B25" i="2"/>
  <c r="C24" i="2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I42" i="1" l="1"/>
  <c r="F42" i="1" s="1"/>
  <c r="G42" i="1" s="1"/>
  <c r="I26" i="1"/>
  <c r="F26" i="1" s="1"/>
  <c r="G26" i="1" s="1"/>
  <c r="I43" i="1"/>
  <c r="F43" i="1" s="1"/>
  <c r="G43" i="1" s="1"/>
  <c r="I40" i="1"/>
  <c r="F40" i="1" s="1"/>
  <c r="G40" i="1" s="1"/>
  <c r="I39" i="1"/>
  <c r="F39" i="1" s="1"/>
  <c r="G39" i="1" s="1"/>
  <c r="I38" i="1"/>
  <c r="F38" i="1" s="1"/>
  <c r="G38" i="1" s="1"/>
  <c r="I36" i="1"/>
  <c r="F36" i="1" s="1"/>
  <c r="G36" i="1" s="1"/>
  <c r="H35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29" i="1"/>
  <c r="F29" i="1" s="1"/>
  <c r="G29" i="1" s="1"/>
  <c r="I12" i="1"/>
  <c r="H41" i="1" l="1"/>
  <c r="H37" i="1"/>
  <c r="H30" i="1"/>
  <c r="B17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I11" i="1"/>
  <c r="F12" i="1"/>
  <c r="G12" i="1" s="1"/>
  <c r="H11" i="1" s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20" i="1"/>
  <c r="F20" i="1" s="1"/>
  <c r="G20" i="1" s="1"/>
  <c r="I21" i="1"/>
  <c r="F21" i="1" s="1"/>
  <c r="G21" i="1" s="1"/>
  <c r="I23" i="1"/>
  <c r="F23" i="1" s="1"/>
  <c r="G23" i="1" s="1"/>
  <c r="I24" i="1"/>
  <c r="F24" i="1" s="1"/>
  <c r="G24" i="1" s="1"/>
  <c r="I25" i="1"/>
  <c r="F25" i="1" s="1"/>
  <c r="G25" i="1" s="1"/>
  <c r="I28" i="1"/>
  <c r="F28" i="1" s="1"/>
  <c r="G28" i="1" s="1"/>
  <c r="H27" i="1" s="1"/>
  <c r="H22" i="1" l="1"/>
  <c r="G45" i="1"/>
  <c r="H19" i="1"/>
  <c r="H13" i="1"/>
  <c r="C17" i="2"/>
  <c r="Y21" i="2"/>
  <c r="Y20" i="2"/>
  <c r="Y19" i="2"/>
  <c r="Y18" i="2"/>
  <c r="C14" i="5"/>
  <c r="B14" i="5"/>
  <c r="F25" i="2" l="1"/>
  <c r="H25" i="2" s="1"/>
  <c r="J25" i="2" s="1"/>
  <c r="L25" i="2" s="1"/>
  <c r="N25" i="2" s="1"/>
  <c r="P25" i="2" s="1"/>
  <c r="R25" i="2" l="1"/>
  <c r="T25" i="2" s="1"/>
  <c r="V25" i="2" s="1"/>
  <c r="Y17" i="2"/>
  <c r="C12" i="5"/>
  <c r="A12" i="2"/>
  <c r="C27" i="2" l="1"/>
  <c r="E31" i="5"/>
  <c r="A35" i="5" s="1"/>
  <c r="E30" i="5"/>
  <c r="D20" i="2" l="1"/>
  <c r="D21" i="2"/>
  <c r="D18" i="2"/>
  <c r="D19" i="2"/>
  <c r="C26" i="2"/>
  <c r="D17" i="2"/>
  <c r="A11" i="2"/>
  <c r="E26" i="2" l="1"/>
  <c r="U26" i="2"/>
  <c r="U27" i="2" s="1"/>
  <c r="S26" i="2"/>
  <c r="Q26" i="2"/>
  <c r="D26" i="2"/>
  <c r="D27" i="2" s="1"/>
  <c r="S27" i="2" l="1"/>
  <c r="Q27" i="2"/>
  <c r="O27" i="2"/>
  <c r="M27" i="2"/>
  <c r="K27" i="2"/>
  <c r="I27" i="2"/>
  <c r="G27" i="2"/>
  <c r="F26" i="2"/>
  <c r="H26" i="2" s="1"/>
  <c r="J26" i="2" s="1"/>
  <c r="L26" i="2" s="1"/>
  <c r="N26" i="2" s="1"/>
  <c r="P26" i="2" s="1"/>
  <c r="R26" i="2" s="1"/>
  <c r="T26" i="2" s="1"/>
  <c r="V26" i="2" s="1"/>
  <c r="E27" i="2"/>
  <c r="M10" i="1" l="1"/>
  <c r="E28" i="2" l="1"/>
  <c r="G28" i="2" l="1"/>
  <c r="I28" i="2" s="1"/>
  <c r="K28" i="2" s="1"/>
  <c r="M28" i="2" s="1"/>
  <c r="O28" i="2" s="1"/>
  <c r="Q28" i="2" s="1"/>
  <c r="S28" i="2" s="1"/>
  <c r="U28" i="2" s="1"/>
</calcChain>
</file>

<file path=xl/sharedStrings.xml><?xml version="1.0" encoding="utf-8"?>
<sst xmlns="http://schemas.openxmlformats.org/spreadsheetml/2006/main" count="198" uniqueCount="155">
  <si>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</si>
  <si>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</si>
  <si>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</si>
  <si>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</si>
  <si>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</si>
  <si>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</si>
  <si>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</si>
  <si>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</si>
  <si>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</si>
  <si>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</si>
  <si>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</si>
  <si>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</si>
  <si>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</si>
  <si>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</si>
  <si>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</si>
  <si>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</si>
  <si>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</si>
  <si>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</si>
  <si>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</si>
  <si>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</si>
  <si>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</si>
  <si>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</si>
  <si>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</si>
  <si>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</si>
  <si>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</si>
  <si>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</si>
  <si>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</si>
  <si>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</si>
  <si>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</si>
  <si>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</si>
  <si>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</si>
  <si>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</si>
  <si>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</si>
  <si>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</si>
  <si>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</si>
  <si>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</si>
  <si>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</si>
  <si>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</si>
  <si>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</si>
  <si>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</si>
  <si>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</si>
  <si>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</si>
  <si>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</si>
  <si>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</si>
  <si>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</si>
  <si>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</si>
  <si>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</si>
  <si>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</si>
  <si>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</si>
  <si>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</si>
  <si>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</si>
  <si>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</si>
  <si>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</si>
  <si>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</si>
  <si>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</si>
  <si>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</si>
  <si>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</si>
  <si>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</si>
  <si>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</si>
  <si>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</si>
  <si>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</si>
  <si>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</si>
  <si>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</si>
  <si>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</si>
  <si>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</si>
  <si>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</si>
  <si>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</si>
  <si>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</si>
  <si>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</si>
  <si>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</si>
  <si>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</si>
  <si>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</si>
  <si>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</si>
  <si>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</si>
  <si>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</si>
  <si>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</si>
  <si>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</si>
  <si>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</si>
  <si>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</si>
  <si>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</si>
  <si>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</si>
  <si>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</si>
  <si>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</si>
  <si>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</si>
  <si>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</si>
  <si>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</si>
  <si>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</si>
  <si>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</si>
  <si>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SERVIÇOS PRELIMINARES</t>
  </si>
  <si>
    <t>M</t>
  </si>
  <si>
    <t/>
  </si>
  <si>
    <t>COBERTURA</t>
  </si>
  <si>
    <t>TELHAMENTO COM TELHA DE AÇO/ALUMÍNIO E = 0,5 MM, COM ATÉ 2 ÁGUAS, INCLUSO IÇAMENTO. AF_07/2019</t>
  </si>
  <si>
    <t xml:space="preserve">M2    </t>
  </si>
  <si>
    <t>PLACA DE OBRA (PARA CONSTRUCAO CIVIL) EM CHAPA GALVANIZADA *N. 22*, ADESIVADA, DE *2,4 X 1,2* M (SEM POSTES PARA FIXACAO)</t>
  </si>
  <si>
    <t>CALHA EM CHAPA DE AÇO GALVANIZADO NÚMERO 24, DESENVOLVIMENTO DE 50 CM, INCLUSO TRANSPORTE VERTICAL. AF_07/2019</t>
  </si>
  <si>
    <t>TUBO, PVC, SOLDÁVEL, DN 75MM, INSTALADO EM PRUMADA DE ÁGUA - FORNECIMENTO E INSTALAÇÃO. AF_12/2014</t>
  </si>
  <si>
    <t>APLICAÇÃO DE FUNDO SELADOR ACRÍLICO EM PAREDES, UMA DEMÃO. AF_06/2014</t>
  </si>
  <si>
    <t>RECUPERAÇÃO DE TRINCAS</t>
  </si>
  <si>
    <t>PEDREIRO COM ENCARGOS COMPLEMENTARES</t>
  </si>
  <si>
    <t>H</t>
  </si>
  <si>
    <t>TELA DE FIBRA DE VIDRO, ACABAMENTO ANTI-ALCALINO, MALHA 10 X 10 MM</t>
  </si>
  <si>
    <t>PROTEÇÃO MECÂNICA DE SUPERFÍCIE VERTICAL COM ARGAMASSA DE CIMENTO E AREIA, TRAÇO 1:3, E=5CM. AF_06/2018</t>
  </si>
  <si>
    <t>LIMPEZA FINAL DE OBRA</t>
  </si>
  <si>
    <t>COMP 001</t>
  </si>
  <si>
    <t>LIMPEZA DE PISO CERÂMICO OU PORCELANATO COM PANO ÚMIDO. AF_04/2019</t>
  </si>
  <si>
    <t>1.1</t>
  </si>
  <si>
    <t>2.2</t>
  </si>
  <si>
    <t>2.1</t>
  </si>
  <si>
    <t>2.3</t>
  </si>
  <si>
    <t>2.4</t>
  </si>
  <si>
    <t>2.5</t>
  </si>
  <si>
    <t>3.1</t>
  </si>
  <si>
    <t>3.2</t>
  </si>
  <si>
    <t>4.1</t>
  </si>
  <si>
    <t>4.2</t>
  </si>
  <si>
    <t>4.3</t>
  </si>
  <si>
    <t>5.1</t>
  </si>
  <si>
    <t>5.2</t>
  </si>
  <si>
    <t>CORONEL VIVIDA, XX DE XXXXXXXXXXX DE 2022</t>
  </si>
  <si>
    <t>XX/XX/2022</t>
  </si>
  <si>
    <t>PISO</t>
  </si>
  <si>
    <t>DEMOLIÇÃO DE REVESTIMENTO CERÂMICO, DE FORMA MANUAL, SEM REAPROVEITAMENTO. AF_12/2017</t>
  </si>
  <si>
    <t>LASTRO DE CONCRETO MAGRO, APLICADO EM PISOS, LAJES SOBRE SOLO OU RADIERS, ESPESSURA DE 3 CM. AF_07/2016</t>
  </si>
  <si>
    <t>ARGAMASSA TRAÇO 1:4 (EM VOLUME DE CIMENTO E AREIA MÉDIA ÚMIDA) PARA CONTRAPISO, PREPARO MECÂNICO COM BETONEIRA 600 L. AF_08/2019</t>
  </si>
  <si>
    <t>M3</t>
  </si>
  <si>
    <t>PISO EM CERAMICA ESMALTADA EXTRA, PEI MAIOR OU IGUAL A 4, FORMATO MAIOR QUE 2025 CM2</t>
  </si>
  <si>
    <t>AZULEJISTA OU LADRILHEIRO COM ENCARGOS COMPLEMENTARES</t>
  </si>
  <si>
    <t>MES</t>
  </si>
  <si>
    <t>PINTURA EXTERNA</t>
  </si>
  <si>
    <t>APLICAÇÃO MANUAL DE PINTURA COM TINTA TEXTURIZADA ACRÍLICA EM PAREDES EXTERNAS DE CASAS, UMA COR. AF_06/2014</t>
  </si>
  <si>
    <t>PINTURA COM TINTA ALQUÍDICA DE ACABAMENTO (ESMALTE SINTÉTICO ACETINADO) APLICADA A ROLO OU PINCEL SOBRE SUPERFÍCIES METÁLICAS (EXCETO PERFIL) EXECUTADO EM OBRA (02 DEMÃOS). AF_01/2020</t>
  </si>
  <si>
    <t>4.4</t>
  </si>
  <si>
    <t>PINTURA COM TINTA ALQUÍDICA DE FUNDO (TIPO ZARCÃO) APLICADA A ROLO OU PINCEL SOBRE PERFIL METÁLICO EXECUTADO EM FÁBRICA (POR DEMÃO). AF_01/2020</t>
  </si>
  <si>
    <t>COBERTURA CASA DE MÁQUINAS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</si>
  <si>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</si>
  <si>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LIXEIRA EM ALVENARIA</t>
  </si>
  <si>
    <t>6.1</t>
  </si>
  <si>
    <t>6.2</t>
  </si>
  <si>
    <t>ALVENARIA DE VEDAÇÃO DE BLOCOS CERÂMICOS FURADOS NA VERTICAL DE 9X19X39 CM (ESPESSURA 9 CM) E ARGAMASSA DE ASSENTAMENTO COM PREPARO EM BETONEIRA. AF_12/2021</t>
  </si>
  <si>
    <t>6.3</t>
  </si>
  <si>
    <t>6.4</t>
  </si>
  <si>
    <t>CHAPA DE ACO GROSSA, SAE 1020, BITOLA 1/4", E = 6,35 MM (49,85 KG/M2)</t>
  </si>
  <si>
    <t xml:space="preserve">PORTÃO EXTERNO </t>
  </si>
  <si>
    <t>7.1</t>
  </si>
  <si>
    <t>ALAMBRADO PARA QUADRA POLIESPORTIVA, ESTRUTURADO POR TUBOS DE ACO GALVANIZADO, (MONTANTES COM DIAMETRO 2", TRAVESSAS E ESCORAS COM DIÂMETRO 1 ¼), COM TELA DE ARAME GALVANIZADO, FIO 10 BWG E MALHA QUADRADA 5X5CM (EXCETO MURETA). AF_03/2021</t>
  </si>
  <si>
    <t>8.1</t>
  </si>
  <si>
    <t>8.2</t>
  </si>
  <si>
    <t>8.3</t>
  </si>
  <si>
    <t>9.1</t>
  </si>
  <si>
    <t>9.2</t>
  </si>
  <si>
    <t>OBJETO: Reforma da Unidade Básica de Saúde - BNH</t>
  </si>
  <si>
    <t xml:space="preserve">LOCALIZAÇÃO: Rua José Foppa - Lote 01 Quadra 05 - Loteamento Vila Industrial </t>
  </si>
  <si>
    <t>m²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</si>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</sst>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5" formatCode="0.0000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6" fillId="0" borderId="0"/>
  </cellStyleXfs>
  <cellXfs count="20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4" fillId="0" borderId="37" xfId="0" applyNumberFormat="1" applyFont="1" applyFill="1" applyBorder="1" applyAlignment="1">
      <alignment horizontal="center" vertical="center"/>
    </xf>
    <xf numFmtId="10" fontId="24" fillId="0" borderId="36" xfId="0" applyNumberFormat="1" applyFont="1" applyFill="1" applyBorder="1" applyAlignment="1">
      <alignment horizontal="center" vertical="center"/>
    </xf>
    <xf numFmtId="10" fontId="24" fillId="0" borderId="12" xfId="0" applyNumberFormat="1" applyFont="1" applyFill="1" applyBorder="1" applyAlignment="1">
      <alignment horizontal="center" vertical="center"/>
    </xf>
    <xf numFmtId="10" fontId="24" fillId="0" borderId="2" xfId="0" applyNumberFormat="1" applyFont="1" applyFill="1" applyBorder="1" applyAlignment="1">
      <alignment horizontal="center" vertical="center"/>
    </xf>
    <xf numFmtId="10" fontId="24" fillId="0" borderId="38" xfId="0" applyNumberFormat="1" applyFont="1" applyFill="1" applyBorder="1" applyAlignment="1">
      <alignment horizontal="center" vertical="center"/>
    </xf>
    <xf numFmtId="10" fontId="24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4" fillId="0" borderId="41" xfId="0" applyNumberFormat="1" applyFont="1" applyFill="1" applyBorder="1" applyAlignment="1">
      <alignment horizontal="center" vertical="center"/>
    </xf>
    <xf numFmtId="10" fontId="24" fillId="0" borderId="42" xfId="0" applyNumberFormat="1" applyFont="1" applyFill="1" applyBorder="1" applyAlignment="1">
      <alignment horizontal="center" vertical="center"/>
    </xf>
    <xf numFmtId="10" fontId="24" fillId="0" borderId="43" xfId="0" applyNumberFormat="1" applyFont="1" applyFill="1" applyBorder="1" applyAlignment="1">
      <alignment horizontal="center" vertical="center"/>
    </xf>
    <xf numFmtId="10" fontId="24" fillId="0" borderId="50" xfId="0" applyNumberFormat="1" applyFont="1" applyFill="1" applyBorder="1" applyAlignment="1">
      <alignment horizontal="center" vertical="center"/>
    </xf>
    <xf numFmtId="10" fontId="24" fillId="0" borderId="51" xfId="0" applyNumberFormat="1" applyFont="1" applyFill="1" applyBorder="1" applyAlignment="1">
      <alignment horizontal="center" vertical="center"/>
    </xf>
    <xf numFmtId="10" fontId="24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9" borderId="2" xfId="0" applyFont="1" applyFill="1" applyBorder="1" applyAlignment="1" applyProtection="1">
      <alignment horizontal="center"/>
    </xf>
    <xf numFmtId="0" fontId="2" fillId="9" borderId="2" xfId="0" applyFont="1" applyFill="1" applyBorder="1" applyAlignment="1" applyProtection="1">
      <alignment horizontal="justify" vertical="top" wrapText="1"/>
    </xf>
    <xf numFmtId="4" fontId="2" fillId="9" borderId="2" xfId="0" applyNumberFormat="1" applyFont="1" applyFill="1" applyBorder="1" applyAlignment="1" applyProtection="1"/>
    <xf numFmtId="43" fontId="2" fillId="9" borderId="2" xfId="2" applyFont="1" applyFill="1" applyBorder="1" applyAlignment="1" applyProtection="1"/>
    <xf numFmtId="0" fontId="1" fillId="9" borderId="2" xfId="0" applyFont="1" applyFill="1" applyBorder="1" applyAlignment="1" applyProtection="1">
      <alignment horizontal="center"/>
    </xf>
    <xf numFmtId="0" fontId="1" fillId="9" borderId="2" xfId="0" applyFont="1" applyFill="1" applyBorder="1" applyAlignment="1" applyProtection="1">
      <alignment horizontal="justify" vertical="top" wrapText="1"/>
    </xf>
    <xf numFmtId="4" fontId="1" fillId="9" borderId="2" xfId="0" applyNumberFormat="1" applyFont="1" applyFill="1" applyBorder="1" applyAlignment="1" applyProtection="1"/>
    <xf numFmtId="43" fontId="1" fillId="9" borderId="2" xfId="2" applyFont="1" applyFill="1" applyBorder="1" applyAlignment="1" applyProtection="1"/>
    <xf numFmtId="165" fontId="0" fillId="0" borderId="0" xfId="0" applyNumberFormat="1"/>
    <xf numFmtId="43" fontId="0" fillId="0" borderId="0" xfId="0" applyNumberFormat="1" applyAlignment="1">
      <alignment horizontal="center"/>
    </xf>
    <xf numFmtId="43" fontId="1" fillId="3" borderId="0" xfId="2" applyFont="1" applyFill="1" applyBorder="1" applyAlignment="1" applyProtection="1">
      <protection locked="0"/>
    </xf>
    <xf numFmtId="0" fontId="1" fillId="9" borderId="3" xfId="0" applyFont="1" applyFill="1" applyBorder="1" applyAlignment="1" applyProtection="1">
      <alignment horizontal="center"/>
    </xf>
    <xf numFmtId="0" fontId="1" fillId="9" borderId="3" xfId="0" applyFont="1" applyFill="1" applyBorder="1" applyAlignment="1" applyProtection="1">
      <alignment horizontal="justify" vertical="top" wrapText="1"/>
    </xf>
    <xf numFmtId="4" fontId="1" fillId="9" borderId="3" xfId="0" applyNumberFormat="1" applyFont="1" applyFill="1" applyBorder="1" applyAlignment="1" applyProtection="1"/>
    <xf numFmtId="43" fontId="1" fillId="9" borderId="3" xfId="2" applyFont="1" applyFill="1" applyBorder="1" applyAlignment="1" applyProtection="1"/>
    <xf numFmtId="43" fontId="1" fillId="9" borderId="0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5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4">
    <cellStyle name="Normal" xfId="0" builtinId="0"/>
    <cellStyle name="Normal 2 2 2" xfId="3" xr:uid="{BA5A4294-D47F-48B6-AC95-D7D784DBDB4B}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4"/>
  <sheetViews>
    <sheetView tabSelected="1" workbookViewId="0">
      <selection activeCell="I41" sqref="I41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  <col min="14" max="14" width="11" bestFit="1" customWidth="1"/>
  </cols>
  <sheetData>
    <row r="1" spans="1:17" ht="15" customHeight="1" x14ac:dyDescent="0.25">
      <c r="A1" s="23"/>
      <c r="B1" s="23"/>
      <c r="C1" s="23"/>
      <c r="D1" s="23"/>
      <c r="E1" s="23"/>
      <c r="F1" s="23"/>
      <c r="G1" s="23"/>
      <c r="K1" s="149" t="s">
        <v>21</v>
      </c>
    </row>
    <row r="2" spans="1:17" ht="15" customHeight="1" x14ac:dyDescent="0.25">
      <c r="A2" s="23"/>
      <c r="B2" s="23"/>
      <c r="C2" s="23"/>
      <c r="D2" s="23"/>
      <c r="E2" s="23"/>
      <c r="F2" s="23"/>
      <c r="G2" s="23"/>
      <c r="I2" s="152" t="s">
        <v>8</v>
      </c>
      <c r="K2" s="150"/>
    </row>
    <row r="3" spans="1:17" ht="15" customHeight="1" x14ac:dyDescent="0.25">
      <c r="A3" s="23"/>
      <c r="B3" s="23"/>
      <c r="C3" s="24"/>
      <c r="D3" s="23"/>
      <c r="E3" s="23"/>
      <c r="F3" s="23"/>
      <c r="G3" s="23"/>
      <c r="I3" s="153"/>
      <c r="K3" s="150"/>
    </row>
    <row r="4" spans="1:17" ht="15" customHeight="1" x14ac:dyDescent="0.25">
      <c r="A4" s="23"/>
      <c r="B4" s="23"/>
      <c r="C4" s="24"/>
      <c r="D4" s="23"/>
      <c r="E4" s="23"/>
      <c r="F4" s="23"/>
      <c r="G4" s="23"/>
      <c r="I4" s="153"/>
      <c r="K4" s="150"/>
    </row>
    <row r="5" spans="1:17" ht="15" customHeight="1" x14ac:dyDescent="0.25">
      <c r="A5" s="23"/>
      <c r="B5" s="23"/>
      <c r="C5" s="23"/>
      <c r="D5" s="23"/>
      <c r="E5" s="23"/>
      <c r="F5" s="23"/>
      <c r="G5" s="23"/>
      <c r="I5" s="153"/>
      <c r="K5" s="150"/>
    </row>
    <row r="6" spans="1:17" ht="15" customHeight="1" x14ac:dyDescent="0.25">
      <c r="A6" s="23"/>
      <c r="B6" s="23"/>
      <c r="C6" s="23"/>
      <c r="D6" s="23"/>
      <c r="E6" s="23"/>
      <c r="F6" s="23"/>
      <c r="G6" s="23"/>
      <c r="I6" s="154"/>
      <c r="K6" s="150"/>
    </row>
    <row r="7" spans="1:17" ht="15.75" customHeight="1" x14ac:dyDescent="0.25">
      <c r="A7" s="147" t="s">
        <v>151</v>
      </c>
      <c r="B7" s="147"/>
      <c r="C7" s="147"/>
      <c r="D7" s="147"/>
      <c r="E7" s="147"/>
      <c r="F7" s="147"/>
      <c r="G7" s="147"/>
      <c r="K7" s="150"/>
    </row>
    <row r="8" spans="1:17" ht="15" customHeight="1" x14ac:dyDescent="0.25">
      <c r="A8" s="155" t="s">
        <v>152</v>
      </c>
      <c r="B8" s="155"/>
      <c r="C8" s="155"/>
      <c r="D8" s="155"/>
      <c r="E8" s="155"/>
      <c r="F8" s="155"/>
      <c r="G8" s="155"/>
      <c r="K8" s="150"/>
      <c r="L8" s="6" t="s">
        <v>9</v>
      </c>
    </row>
    <row r="9" spans="1:17" ht="15" customHeight="1" x14ac:dyDescent="0.25">
      <c r="A9" s="156"/>
      <c r="B9" s="157"/>
      <c r="C9" s="157"/>
      <c r="D9" s="157"/>
      <c r="E9" s="157"/>
      <c r="F9" s="157"/>
      <c r="G9" s="158"/>
      <c r="K9" s="151"/>
      <c r="L9" s="6" t="s">
        <v>3</v>
      </c>
    </row>
    <row r="10" spans="1:17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G45</f>
        <v>42663.310000000005</v>
      </c>
      <c r="N10" s="139"/>
    </row>
    <row r="11" spans="1:17" s="1" customFormat="1" x14ac:dyDescent="0.25">
      <c r="A11" s="130">
        <v>1</v>
      </c>
      <c r="B11" s="130"/>
      <c r="C11" s="131" t="s">
        <v>88</v>
      </c>
      <c r="D11" s="130"/>
      <c r="E11" s="132"/>
      <c r="F11" s="133"/>
      <c r="G11" s="133"/>
      <c r="H11" s="127">
        <f>SUM(G11:G12)</f>
        <v>1769.85</v>
      </c>
      <c r="I11" s="126">
        <f t="shared" ref="I11:I12" si="0">ROUND(L11-(L11*$K$10),2)</f>
        <v>0</v>
      </c>
      <c r="L11" s="6"/>
    </row>
    <row r="12" spans="1:17" s="1" customFormat="1" ht="33.75" x14ac:dyDescent="0.25">
      <c r="A12" s="134" t="s">
        <v>106</v>
      </c>
      <c r="B12" s="134">
        <v>4813</v>
      </c>
      <c r="C12" s="135" t="s">
        <v>94</v>
      </c>
      <c r="D12" s="134" t="s">
        <v>93</v>
      </c>
      <c r="E12" s="136">
        <v>5</v>
      </c>
      <c r="F12" s="137">
        <f t="shared" ref="F12" si="1">ROUND(I12,2)</f>
        <v>353.97</v>
      </c>
      <c r="G12" s="137">
        <f t="shared" ref="G12" si="2">ROUND(F12*E12,2)</f>
        <v>1769.85</v>
      </c>
      <c r="I12" s="126">
        <f t="shared" si="0"/>
        <v>353.97</v>
      </c>
      <c r="L12" s="1">
        <v>353.96999999999997</v>
      </c>
      <c r="Q12" s="139"/>
    </row>
    <row r="13" spans="1:17" s="1" customFormat="1" x14ac:dyDescent="0.25">
      <c r="A13" s="130">
        <v>2</v>
      </c>
      <c r="B13" s="130"/>
      <c r="C13" s="131" t="s">
        <v>121</v>
      </c>
      <c r="D13" s="130" t="s">
        <v>90</v>
      </c>
      <c r="E13" s="132"/>
      <c r="F13" s="137"/>
      <c r="G13" s="137"/>
      <c r="H13" s="127">
        <f>SUM(G13:G18)</f>
        <v>15738.54</v>
      </c>
      <c r="I13" s="126"/>
      <c r="L13" s="1">
        <v>0</v>
      </c>
      <c r="Q13" s="139"/>
    </row>
    <row r="14" spans="1:17" s="1" customFormat="1" ht="22.5" x14ac:dyDescent="0.25">
      <c r="A14" s="134" t="s">
        <v>108</v>
      </c>
      <c r="B14" s="134">
        <v>97633</v>
      </c>
      <c r="C14" s="135" t="s">
        <v>122</v>
      </c>
      <c r="D14" s="134" t="s">
        <v>68</v>
      </c>
      <c r="E14" s="136">
        <v>94.94</v>
      </c>
      <c r="F14" s="137">
        <f t="shared" ref="F14:F28" si="3">ROUND(I14,2)</f>
        <v>28.49</v>
      </c>
      <c r="G14" s="137">
        <f t="shared" ref="G14:G28" si="4">ROUND(F14*E14,2)</f>
        <v>2704.84</v>
      </c>
      <c r="I14" s="126">
        <f t="shared" ref="I14:I28" si="5">ROUND(L14-(L14*$K$10),2)</f>
        <v>28.49</v>
      </c>
      <c r="L14" s="1">
        <v>28.49</v>
      </c>
      <c r="Q14" s="139"/>
    </row>
    <row r="15" spans="1:17" s="1" customFormat="1" ht="22.5" x14ac:dyDescent="0.25">
      <c r="A15" s="134" t="s">
        <v>107</v>
      </c>
      <c r="B15" s="134">
        <v>95240</v>
      </c>
      <c r="C15" s="135" t="s">
        <v>123</v>
      </c>
      <c r="D15" s="134" t="s">
        <v>68</v>
      </c>
      <c r="E15" s="136">
        <v>94.94</v>
      </c>
      <c r="F15" s="137">
        <f t="shared" si="3"/>
        <v>19.66</v>
      </c>
      <c r="G15" s="137">
        <f t="shared" si="4"/>
        <v>1866.52</v>
      </c>
      <c r="I15" s="126">
        <f t="shared" si="5"/>
        <v>19.66</v>
      </c>
      <c r="L15" s="1">
        <v>19.66</v>
      </c>
      <c r="Q15" s="139"/>
    </row>
    <row r="16" spans="1:17" s="1" customFormat="1" ht="33.75" x14ac:dyDescent="0.25">
      <c r="A16" s="134" t="s">
        <v>109</v>
      </c>
      <c r="B16" s="134">
        <v>87302</v>
      </c>
      <c r="C16" s="135" t="s">
        <v>124</v>
      </c>
      <c r="D16" s="134" t="s">
        <v>125</v>
      </c>
      <c r="E16" s="136">
        <v>2.85</v>
      </c>
      <c r="F16" s="137">
        <f t="shared" si="3"/>
        <v>593.41</v>
      </c>
      <c r="G16" s="137">
        <f t="shared" si="4"/>
        <v>1691.22</v>
      </c>
      <c r="I16" s="126">
        <f t="shared" si="5"/>
        <v>593.41</v>
      </c>
      <c r="L16" s="1">
        <v>593.41</v>
      </c>
      <c r="Q16" s="139"/>
    </row>
    <row r="17" spans="1:17" s="1" customFormat="1" ht="22.5" x14ac:dyDescent="0.25">
      <c r="A17" s="134" t="s">
        <v>110</v>
      </c>
      <c r="B17" s="134">
        <v>1292</v>
      </c>
      <c r="C17" s="135" t="s">
        <v>126</v>
      </c>
      <c r="D17" s="134" t="s">
        <v>93</v>
      </c>
      <c r="E17" s="136">
        <v>94.94</v>
      </c>
      <c r="F17" s="137">
        <f t="shared" si="3"/>
        <v>66.83</v>
      </c>
      <c r="G17" s="137">
        <f t="shared" si="4"/>
        <v>6344.84</v>
      </c>
      <c r="I17" s="126">
        <f t="shared" si="5"/>
        <v>66.83</v>
      </c>
      <c r="L17" s="1">
        <v>66.83</v>
      </c>
    </row>
    <row r="18" spans="1:17" s="1" customFormat="1" x14ac:dyDescent="0.25">
      <c r="A18" s="134" t="s">
        <v>111</v>
      </c>
      <c r="B18" s="134">
        <v>101391</v>
      </c>
      <c r="C18" s="135" t="s">
        <v>127</v>
      </c>
      <c r="D18" s="134" t="s">
        <v>128</v>
      </c>
      <c r="E18" s="136">
        <v>0.5</v>
      </c>
      <c r="F18" s="137">
        <f t="shared" si="3"/>
        <v>6262.24</v>
      </c>
      <c r="G18" s="137">
        <f t="shared" si="4"/>
        <v>3131.12</v>
      </c>
      <c r="I18" s="126">
        <f t="shared" si="5"/>
        <v>6262.24</v>
      </c>
      <c r="L18" s="1">
        <v>6262.24</v>
      </c>
    </row>
    <row r="19" spans="1:17" s="1" customFormat="1" x14ac:dyDescent="0.25">
      <c r="A19" s="130">
        <v>3</v>
      </c>
      <c r="B19" s="130"/>
      <c r="C19" s="131" t="s">
        <v>91</v>
      </c>
      <c r="D19" s="134"/>
      <c r="E19" s="136"/>
      <c r="F19" s="137"/>
      <c r="G19" s="137"/>
      <c r="H19" s="127">
        <f>SUM(G19:G21)</f>
        <v>7843.72</v>
      </c>
      <c r="I19" s="126"/>
      <c r="L19" s="1">
        <v>0</v>
      </c>
    </row>
    <row r="20" spans="1:17" s="1" customFormat="1" ht="33.75" x14ac:dyDescent="0.25">
      <c r="A20" s="134" t="s">
        <v>112</v>
      </c>
      <c r="B20" s="134">
        <v>94228</v>
      </c>
      <c r="C20" s="135" t="s">
        <v>95</v>
      </c>
      <c r="D20" s="134" t="s">
        <v>89</v>
      </c>
      <c r="E20" s="136">
        <v>54.5</v>
      </c>
      <c r="F20" s="137">
        <f t="shared" si="3"/>
        <v>128</v>
      </c>
      <c r="G20" s="137">
        <f t="shared" si="4"/>
        <v>6976</v>
      </c>
      <c r="I20" s="126">
        <f t="shared" si="5"/>
        <v>128</v>
      </c>
      <c r="L20" s="1">
        <v>128.00051999999999</v>
      </c>
    </row>
    <row r="21" spans="1:17" s="1" customFormat="1" ht="22.5" x14ac:dyDescent="0.25">
      <c r="A21" s="134" t="s">
        <v>113</v>
      </c>
      <c r="B21" s="134">
        <v>89451</v>
      </c>
      <c r="C21" s="135" t="s">
        <v>96</v>
      </c>
      <c r="D21" s="134" t="s">
        <v>89</v>
      </c>
      <c r="E21" s="136">
        <v>12</v>
      </c>
      <c r="F21" s="137">
        <f t="shared" si="3"/>
        <v>72.31</v>
      </c>
      <c r="G21" s="137">
        <f t="shared" si="4"/>
        <v>867.72</v>
      </c>
      <c r="I21" s="126">
        <f t="shared" si="5"/>
        <v>72.31</v>
      </c>
      <c r="L21" s="1">
        <v>72.31</v>
      </c>
    </row>
    <row r="22" spans="1:17" s="1" customFormat="1" x14ac:dyDescent="0.25">
      <c r="A22" s="130">
        <v>4</v>
      </c>
      <c r="B22" s="130"/>
      <c r="C22" s="131" t="s">
        <v>129</v>
      </c>
      <c r="D22" s="134"/>
      <c r="E22" s="136"/>
      <c r="F22" s="137"/>
      <c r="G22" s="137"/>
      <c r="H22" s="127">
        <f>SUM(G23:G26)</f>
        <v>7689.62</v>
      </c>
      <c r="I22" s="126"/>
      <c r="L22" s="1">
        <v>0</v>
      </c>
      <c r="Q22" s="139"/>
    </row>
    <row r="23" spans="1:17" s="1" customFormat="1" ht="33.75" x14ac:dyDescent="0.25">
      <c r="A23" s="134" t="s">
        <v>114</v>
      </c>
      <c r="B23" s="134">
        <v>88423</v>
      </c>
      <c r="C23" s="135" t="s">
        <v>130</v>
      </c>
      <c r="D23" s="134" t="s">
        <v>68</v>
      </c>
      <c r="E23" s="136">
        <v>248.89</v>
      </c>
      <c r="F23" s="137">
        <f t="shared" ref="F23" si="6">ROUND(I23,2)</f>
        <v>20.43</v>
      </c>
      <c r="G23" s="137">
        <f t="shared" ref="G23" si="7">ROUND(F23*E23,2)</f>
        <v>5084.82</v>
      </c>
      <c r="I23" s="126">
        <f t="shared" si="5"/>
        <v>20.43</v>
      </c>
      <c r="L23" s="1">
        <v>20.43</v>
      </c>
    </row>
    <row r="24" spans="1:17" s="1" customFormat="1" ht="22.5" x14ac:dyDescent="0.25">
      <c r="A24" s="134" t="s">
        <v>115</v>
      </c>
      <c r="B24" s="134">
        <v>88485</v>
      </c>
      <c r="C24" s="135" t="s">
        <v>97</v>
      </c>
      <c r="D24" s="134" t="s">
        <v>68</v>
      </c>
      <c r="E24" s="136">
        <v>248.89</v>
      </c>
      <c r="F24" s="137">
        <f t="shared" si="3"/>
        <v>3.53</v>
      </c>
      <c r="G24" s="137">
        <f t="shared" si="4"/>
        <v>878.58</v>
      </c>
      <c r="I24" s="126">
        <f t="shared" si="5"/>
        <v>3.53</v>
      </c>
      <c r="L24" s="1">
        <v>3.53</v>
      </c>
    </row>
    <row r="25" spans="1:17" s="1" customFormat="1" ht="45" x14ac:dyDescent="0.25">
      <c r="A25" s="134" t="s">
        <v>116</v>
      </c>
      <c r="B25" s="134">
        <v>100758</v>
      </c>
      <c r="C25" s="135" t="s">
        <v>131</v>
      </c>
      <c r="D25" s="134" t="s">
        <v>68</v>
      </c>
      <c r="E25" s="136">
        <v>25.3</v>
      </c>
      <c r="F25" s="137">
        <f t="shared" si="3"/>
        <v>55.61</v>
      </c>
      <c r="G25" s="137">
        <f t="shared" si="4"/>
        <v>1406.93</v>
      </c>
      <c r="I25" s="126">
        <f t="shared" si="5"/>
        <v>55.61</v>
      </c>
      <c r="L25" s="1">
        <v>55.61</v>
      </c>
    </row>
    <row r="26" spans="1:17" s="1" customFormat="1" ht="33.75" x14ac:dyDescent="0.25">
      <c r="A26" s="134" t="s">
        <v>132</v>
      </c>
      <c r="B26" s="134">
        <v>100720</v>
      </c>
      <c r="C26" s="135" t="s">
        <v>133</v>
      </c>
      <c r="D26" s="134" t="s">
        <v>68</v>
      </c>
      <c r="E26" s="136">
        <v>25.3</v>
      </c>
      <c r="F26" s="137">
        <f t="shared" ref="F26" si="8">ROUND(I26,2)</f>
        <v>12.62</v>
      </c>
      <c r="G26" s="137">
        <f t="shared" ref="G26" si="9">ROUND(F26*E26,2)</f>
        <v>319.29000000000002</v>
      </c>
      <c r="H26" s="127"/>
      <c r="I26" s="126">
        <f t="shared" si="5"/>
        <v>12.62</v>
      </c>
      <c r="L26" s="1">
        <v>12.62</v>
      </c>
    </row>
    <row r="27" spans="1:17" s="1" customFormat="1" x14ac:dyDescent="0.25">
      <c r="A27" s="130">
        <v>5</v>
      </c>
      <c r="B27" s="130"/>
      <c r="C27" s="131" t="s">
        <v>134</v>
      </c>
      <c r="D27" s="134"/>
      <c r="E27" s="136"/>
      <c r="F27" s="137"/>
      <c r="G27" s="137"/>
      <c r="H27" s="127">
        <f>SUM(G28:G29)</f>
        <v>511.71000000000004</v>
      </c>
      <c r="I27" s="126"/>
      <c r="L27" s="1">
        <v>0</v>
      </c>
    </row>
    <row r="28" spans="1:17" s="1" customFormat="1" ht="22.5" x14ac:dyDescent="0.25">
      <c r="A28" s="134" t="s">
        <v>117</v>
      </c>
      <c r="B28" s="134">
        <v>94213</v>
      </c>
      <c r="C28" s="135" t="s">
        <v>92</v>
      </c>
      <c r="D28" s="134" t="s">
        <v>68</v>
      </c>
      <c r="E28" s="136">
        <v>3.5</v>
      </c>
      <c r="F28" s="137">
        <f t="shared" si="3"/>
        <v>110.05</v>
      </c>
      <c r="G28" s="137">
        <f t="shared" si="4"/>
        <v>385.18</v>
      </c>
      <c r="H28" s="127"/>
      <c r="I28" s="126">
        <f t="shared" si="5"/>
        <v>110.05</v>
      </c>
      <c r="L28" s="1">
        <v>110.05</v>
      </c>
    </row>
    <row r="29" spans="1:17" s="1" customFormat="1" ht="56.25" x14ac:dyDescent="0.25">
      <c r="A29" s="134" t="s">
        <v>118</v>
      </c>
      <c r="B29" s="134">
        <v>92566</v>
      </c>
      <c r="C29" s="135" t="s">
        <v>135</v>
      </c>
      <c r="D29" s="134" t="s">
        <v>68</v>
      </c>
      <c r="E29" s="136">
        <v>3.5</v>
      </c>
      <c r="F29" s="137">
        <f t="shared" ref="F29" si="10">ROUND(I29,2)</f>
        <v>36.15</v>
      </c>
      <c r="G29" s="137">
        <f t="shared" ref="G29" si="11">ROUND(F29*E29,2)</f>
        <v>126.53</v>
      </c>
      <c r="I29" s="126">
        <f t="shared" ref="I29:I43" si="12">ROUND(L29-(L29*$K$10),2)</f>
        <v>36.15</v>
      </c>
      <c r="L29" s="1">
        <v>36.15</v>
      </c>
    </row>
    <row r="30" spans="1:17" s="1" customFormat="1" x14ac:dyDescent="0.25">
      <c r="A30" s="130">
        <v>6</v>
      </c>
      <c r="B30" s="130"/>
      <c r="C30" s="131" t="s">
        <v>136</v>
      </c>
      <c r="D30" s="134"/>
      <c r="E30" s="136"/>
      <c r="F30" s="137"/>
      <c r="G30" s="137"/>
      <c r="H30" s="127">
        <f>SUM(G31:G34)</f>
        <v>5016.53</v>
      </c>
      <c r="I30" s="126"/>
      <c r="L30" s="1">
        <v>0</v>
      </c>
    </row>
    <row r="31" spans="1:17" s="1" customFormat="1" ht="22.5" x14ac:dyDescent="0.25">
      <c r="A31" s="134" t="s">
        <v>137</v>
      </c>
      <c r="B31" s="134">
        <v>95240</v>
      </c>
      <c r="C31" s="135" t="s">
        <v>123</v>
      </c>
      <c r="D31" s="134" t="s">
        <v>68</v>
      </c>
      <c r="E31" s="136">
        <v>3.55</v>
      </c>
      <c r="F31" s="137">
        <f t="shared" ref="F31:F43" si="13">ROUND(I31,2)</f>
        <v>19.66</v>
      </c>
      <c r="G31" s="137">
        <f t="shared" ref="G31:G43" si="14">ROUND(F31*E31,2)</f>
        <v>69.790000000000006</v>
      </c>
      <c r="I31" s="126">
        <f t="shared" si="12"/>
        <v>19.66</v>
      </c>
      <c r="L31" s="1">
        <v>19.66</v>
      </c>
    </row>
    <row r="32" spans="1:17" s="1" customFormat="1" ht="33.75" x14ac:dyDescent="0.25">
      <c r="A32" s="134" t="s">
        <v>138</v>
      </c>
      <c r="B32" s="134">
        <v>103322</v>
      </c>
      <c r="C32" s="135" t="s">
        <v>139</v>
      </c>
      <c r="D32" s="134" t="s">
        <v>68</v>
      </c>
      <c r="E32" s="136">
        <v>12.1</v>
      </c>
      <c r="F32" s="137">
        <f t="shared" si="13"/>
        <v>74.47</v>
      </c>
      <c r="G32" s="137">
        <f t="shared" si="14"/>
        <v>901.09</v>
      </c>
      <c r="I32" s="126">
        <f t="shared" si="12"/>
        <v>74.47</v>
      </c>
      <c r="L32" s="1">
        <v>74.47</v>
      </c>
    </row>
    <row r="33" spans="1:14" s="1" customFormat="1" ht="33.75" x14ac:dyDescent="0.25">
      <c r="A33" s="134" t="s">
        <v>140</v>
      </c>
      <c r="B33" s="134">
        <v>88423</v>
      </c>
      <c r="C33" s="135" t="s">
        <v>130</v>
      </c>
      <c r="D33" s="134" t="s">
        <v>68</v>
      </c>
      <c r="E33" s="136">
        <v>12.12</v>
      </c>
      <c r="F33" s="137">
        <f t="shared" si="13"/>
        <v>20.43</v>
      </c>
      <c r="G33" s="137">
        <f t="shared" si="14"/>
        <v>247.61</v>
      </c>
      <c r="I33" s="126">
        <f t="shared" si="12"/>
        <v>20.43</v>
      </c>
      <c r="L33" s="1">
        <v>20.43</v>
      </c>
    </row>
    <row r="34" spans="1:14" s="1" customFormat="1" ht="22.5" x14ac:dyDescent="0.25">
      <c r="A34" s="134" t="s">
        <v>141</v>
      </c>
      <c r="B34" s="134">
        <v>40425</v>
      </c>
      <c r="C34" s="135" t="s">
        <v>142</v>
      </c>
      <c r="D34" s="134" t="s">
        <v>154</v>
      </c>
      <c r="E34" s="136">
        <v>238.72</v>
      </c>
      <c r="F34" s="137">
        <f t="shared" si="13"/>
        <v>15.91</v>
      </c>
      <c r="G34" s="137">
        <f t="shared" si="14"/>
        <v>3798.04</v>
      </c>
      <c r="I34" s="126">
        <f t="shared" si="12"/>
        <v>15.91</v>
      </c>
      <c r="L34" s="1">
        <v>15.91</v>
      </c>
    </row>
    <row r="35" spans="1:14" s="1" customFormat="1" x14ac:dyDescent="0.25">
      <c r="A35" s="130">
        <v>7</v>
      </c>
      <c r="B35" s="130"/>
      <c r="C35" s="131" t="s">
        <v>143</v>
      </c>
      <c r="D35" s="134"/>
      <c r="E35" s="136"/>
      <c r="F35" s="137"/>
      <c r="G35" s="137"/>
      <c r="H35" s="127">
        <f>SUM(G36)</f>
        <v>2043.22</v>
      </c>
      <c r="I35" s="126"/>
      <c r="L35" s="1">
        <v>0</v>
      </c>
    </row>
    <row r="36" spans="1:14" s="1" customFormat="1" ht="56.25" x14ac:dyDescent="0.25">
      <c r="A36" s="134" t="s">
        <v>144</v>
      </c>
      <c r="B36" s="134">
        <v>102364</v>
      </c>
      <c r="C36" s="135" t="s">
        <v>145</v>
      </c>
      <c r="D36" s="134" t="s">
        <v>68</v>
      </c>
      <c r="E36" s="136">
        <v>7.2</v>
      </c>
      <c r="F36" s="137">
        <f t="shared" si="13"/>
        <v>283.77999999999997</v>
      </c>
      <c r="G36" s="137">
        <f t="shared" si="14"/>
        <v>2043.22</v>
      </c>
      <c r="I36" s="126">
        <f t="shared" si="12"/>
        <v>283.77999999999997</v>
      </c>
      <c r="L36" s="1">
        <v>283.77999999999997</v>
      </c>
    </row>
    <row r="37" spans="1:14" s="1" customFormat="1" x14ac:dyDescent="0.25">
      <c r="A37" s="130">
        <v>8</v>
      </c>
      <c r="B37" s="130"/>
      <c r="C37" s="131" t="s">
        <v>98</v>
      </c>
      <c r="D37" s="134" t="s">
        <v>90</v>
      </c>
      <c r="E37" s="136"/>
      <c r="F37" s="137"/>
      <c r="G37" s="137"/>
      <c r="H37" s="127">
        <f>SUM(G38:G40)</f>
        <v>1543.1399999999999</v>
      </c>
      <c r="I37" s="126"/>
      <c r="L37" s="1">
        <v>0</v>
      </c>
    </row>
    <row r="38" spans="1:14" s="1" customFormat="1" x14ac:dyDescent="0.25">
      <c r="A38" s="134" t="s">
        <v>146</v>
      </c>
      <c r="B38" s="134">
        <v>88309</v>
      </c>
      <c r="C38" s="135" t="s">
        <v>99</v>
      </c>
      <c r="D38" s="134" t="s">
        <v>100</v>
      </c>
      <c r="E38" s="136">
        <v>30</v>
      </c>
      <c r="F38" s="137">
        <f t="shared" si="13"/>
        <v>35.25</v>
      </c>
      <c r="G38" s="137">
        <f t="shared" si="14"/>
        <v>1057.5</v>
      </c>
      <c r="I38" s="126">
        <f t="shared" si="12"/>
        <v>35.25</v>
      </c>
      <c r="L38" s="1">
        <v>35.25</v>
      </c>
    </row>
    <row r="39" spans="1:14" s="1" customFormat="1" ht="22.5" x14ac:dyDescent="0.25">
      <c r="A39" s="134" t="s">
        <v>147</v>
      </c>
      <c r="B39" s="134">
        <v>36887</v>
      </c>
      <c r="C39" s="135" t="s">
        <v>101</v>
      </c>
      <c r="D39" s="134" t="s">
        <v>153</v>
      </c>
      <c r="E39" s="136">
        <v>3.85</v>
      </c>
      <c r="F39" s="137">
        <f t="shared" si="13"/>
        <v>12.92</v>
      </c>
      <c r="G39" s="137">
        <f t="shared" si="14"/>
        <v>49.74</v>
      </c>
      <c r="I39" s="126">
        <f t="shared" si="12"/>
        <v>12.92</v>
      </c>
      <c r="L39" s="1">
        <v>12.92</v>
      </c>
    </row>
    <row r="40" spans="1:14" s="1" customFormat="1" ht="33.75" x14ac:dyDescent="0.25">
      <c r="A40" s="134" t="s">
        <v>148</v>
      </c>
      <c r="B40" s="134">
        <v>98570</v>
      </c>
      <c r="C40" s="135" t="s">
        <v>102</v>
      </c>
      <c r="D40" s="134" t="s">
        <v>68</v>
      </c>
      <c r="E40" s="136">
        <v>3.85</v>
      </c>
      <c r="F40" s="137">
        <f t="shared" si="13"/>
        <v>113.22</v>
      </c>
      <c r="G40" s="137">
        <f t="shared" si="14"/>
        <v>435.9</v>
      </c>
      <c r="I40" s="126">
        <f t="shared" si="12"/>
        <v>113.22</v>
      </c>
      <c r="L40" s="1">
        <v>113.22</v>
      </c>
    </row>
    <row r="41" spans="1:14" s="1" customFormat="1" x14ac:dyDescent="0.25">
      <c r="A41" s="130">
        <v>9</v>
      </c>
      <c r="B41" s="130"/>
      <c r="C41" s="131" t="s">
        <v>103</v>
      </c>
      <c r="D41" s="134" t="s">
        <v>90</v>
      </c>
      <c r="E41" s="136"/>
      <c r="F41" s="137"/>
      <c r="G41" s="137"/>
      <c r="H41" s="127">
        <f>SUM(G42:G43)</f>
        <v>506.98</v>
      </c>
      <c r="I41" s="126"/>
      <c r="L41" s="1">
        <v>0</v>
      </c>
    </row>
    <row r="42" spans="1:14" s="1" customFormat="1" x14ac:dyDescent="0.25">
      <c r="A42" s="134" t="s">
        <v>149</v>
      </c>
      <c r="B42" s="134" t="s">
        <v>104</v>
      </c>
      <c r="C42" s="135" t="s">
        <v>103</v>
      </c>
      <c r="D42" s="134" t="s">
        <v>68</v>
      </c>
      <c r="E42" s="136">
        <v>94.94</v>
      </c>
      <c r="F42" s="137">
        <f t="shared" si="13"/>
        <v>2.71</v>
      </c>
      <c r="G42" s="137">
        <f t="shared" si="14"/>
        <v>257.29000000000002</v>
      </c>
      <c r="I42" s="126">
        <f t="shared" si="12"/>
        <v>2.71</v>
      </c>
      <c r="L42" s="1">
        <v>2.71</v>
      </c>
    </row>
    <row r="43" spans="1:14" s="1" customFormat="1" ht="22.5" x14ac:dyDescent="0.25">
      <c r="A43" s="134" t="s">
        <v>150</v>
      </c>
      <c r="B43" s="134">
        <v>99803</v>
      </c>
      <c r="C43" s="135" t="s">
        <v>105</v>
      </c>
      <c r="D43" s="134" t="s">
        <v>68</v>
      </c>
      <c r="E43" s="136">
        <v>94.94</v>
      </c>
      <c r="F43" s="137">
        <f t="shared" si="13"/>
        <v>2.63</v>
      </c>
      <c r="G43" s="137">
        <f t="shared" si="14"/>
        <v>249.69</v>
      </c>
      <c r="I43" s="126">
        <f t="shared" si="12"/>
        <v>2.63</v>
      </c>
      <c r="L43" s="1">
        <v>2.63</v>
      </c>
    </row>
    <row r="44" spans="1:14" s="1" customFormat="1" x14ac:dyDescent="0.25">
      <c r="A44" s="141"/>
      <c r="B44" s="141"/>
      <c r="C44" s="142"/>
      <c r="D44" s="141"/>
      <c r="E44" s="143"/>
      <c r="F44" s="144"/>
      <c r="G44" s="145"/>
      <c r="H44" s="127"/>
      <c r="I44" s="140"/>
      <c r="L44" s="8"/>
    </row>
    <row r="45" spans="1:14" x14ac:dyDescent="0.25">
      <c r="A45" s="146" t="s">
        <v>4</v>
      </c>
      <c r="B45" s="146"/>
      <c r="C45" s="146"/>
      <c r="D45" s="146"/>
      <c r="E45" s="146"/>
      <c r="F45" s="146"/>
      <c r="G45" s="5">
        <f>SUM(G11:G43)</f>
        <v>42663.310000000005</v>
      </c>
      <c r="H45" s="128"/>
      <c r="M45" s="138"/>
      <c r="N45" s="138"/>
    </row>
    <row r="46" spans="1:14" x14ac:dyDescent="0.25">
      <c r="A46" s="23"/>
      <c r="B46" s="23"/>
      <c r="C46" s="23"/>
      <c r="D46" s="23"/>
      <c r="E46" s="129" t="s">
        <v>90</v>
      </c>
      <c r="F46" s="23"/>
      <c r="G46" s="23"/>
    </row>
    <row r="47" spans="1:14" ht="15" customHeight="1" x14ac:dyDescent="0.25">
      <c r="A47" s="148" t="s">
        <v>119</v>
      </c>
      <c r="B47" s="148"/>
      <c r="C47" s="148"/>
      <c r="D47" s="148"/>
      <c r="E47" s="148"/>
      <c r="F47" s="148"/>
      <c r="G47" s="148"/>
    </row>
    <row r="48" spans="1:14" x14ac:dyDescent="0.25">
      <c r="A48" s="23"/>
      <c r="B48" s="23"/>
      <c r="C48" s="23"/>
      <c r="D48" s="23"/>
      <c r="E48" s="23"/>
      <c r="F48" s="23"/>
      <c r="G48" s="23"/>
    </row>
    <row r="49" spans="1:7" x14ac:dyDescent="0.25">
      <c r="A49" s="23"/>
      <c r="B49" s="23"/>
      <c r="C49" s="23"/>
      <c r="D49" s="23"/>
      <c r="E49" s="23"/>
      <c r="F49" s="23"/>
      <c r="G49" s="23"/>
    </row>
    <row r="50" spans="1:7" x14ac:dyDescent="0.25">
      <c r="A50" s="23"/>
      <c r="B50" s="23"/>
      <c r="C50" s="23"/>
      <c r="D50" s="23"/>
      <c r="E50" s="23"/>
      <c r="F50" s="23"/>
      <c r="G50" s="23"/>
    </row>
    <row r="51" spans="1:7" x14ac:dyDescent="0.25">
      <c r="A51" s="23"/>
      <c r="B51" s="23"/>
      <c r="C51" s="23"/>
      <c r="D51" s="23"/>
      <c r="E51" s="23"/>
      <c r="F51" s="23"/>
      <c r="G51" s="23"/>
    </row>
    <row r="52" spans="1:7" x14ac:dyDescent="0.25">
      <c r="A52" s="23"/>
      <c r="B52" s="23"/>
      <c r="C52" s="23"/>
      <c r="D52" s="23"/>
      <c r="E52" s="23"/>
      <c r="F52" s="23"/>
      <c r="G52" s="23"/>
    </row>
    <row r="53" spans="1:7" x14ac:dyDescent="0.25">
      <c r="A53" s="23"/>
      <c r="B53" s="23"/>
      <c r="C53" s="23"/>
      <c r="D53" s="23"/>
      <c r="E53" s="23"/>
      <c r="F53" s="23"/>
      <c r="G53" s="23"/>
    </row>
    <row r="54" spans="1:7" x14ac:dyDescent="0.25">
      <c r="A54" s="23"/>
      <c r="B54" s="23"/>
      <c r="C54" s="23"/>
      <c r="D54" s="23"/>
      <c r="E54" s="23"/>
      <c r="F54" s="23"/>
      <c r="G54" s="23"/>
    </row>
  </sheetData>
  <sheetProtection algorithmName="SHA-512" hashValue="jqQix3VOpeIKVvxNBP4BAWy529mZAgmbAODBHpp1hcUSPMuy4APHvckKKhIVHa3lvexTWgJ8v9awPF5frVpjuA==" saltValue="6pu5lSHw9gJ0LLmTvRPCvA==" spinCount="100000" sheet="1" selectLockedCells="1"/>
  <mergeCells count="7">
    <mergeCell ref="A45:F45"/>
    <mergeCell ref="A7:G7"/>
    <mergeCell ref="A47:G47"/>
    <mergeCell ref="K1:K9"/>
    <mergeCell ref="I2:I6"/>
    <mergeCell ref="A8:G8"/>
    <mergeCell ref="A9:G9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4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39"/>
  <sheetViews>
    <sheetView topLeftCell="A13" workbookViewId="0">
      <selection activeCell="B34" sqref="B34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65" t="s">
        <v>22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95"/>
    </row>
    <row r="10" spans="1:23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x14ac:dyDescent="0.25">
      <c r="A11" s="28" t="str">
        <f>ORÇAMENTO!A7</f>
        <v>OBJETO: Reforma da Unidade Básica de Saúde - BNH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96"/>
      <c r="R11" s="96"/>
      <c r="S11" s="96"/>
      <c r="T11" s="96"/>
      <c r="U11" s="96"/>
      <c r="V11" s="96"/>
      <c r="W11" s="96"/>
    </row>
    <row r="12" spans="1:23" x14ac:dyDescent="0.25">
      <c r="A12" s="28" t="str">
        <f>ORÇAMENTO!A8</f>
        <v xml:space="preserve">LOCALIZAÇÃO: Rua José Foppa - Lote 01 Quadra 05 - Loteamento Vila Industrial 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96"/>
      <c r="R12" s="96"/>
      <c r="S12" s="96"/>
      <c r="T12" s="96"/>
      <c r="U12" s="96"/>
      <c r="V12" s="96"/>
      <c r="W12" s="96"/>
    </row>
    <row r="13" spans="1:23" x14ac:dyDescent="0.25">
      <c r="A13" s="28" t="s">
        <v>23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  <c r="Q13" s="12"/>
      <c r="R13" s="12"/>
      <c r="S13" s="12"/>
      <c r="T13" s="12"/>
      <c r="U13" s="12"/>
      <c r="V13" s="12"/>
      <c r="W13" s="12"/>
    </row>
    <row r="14" spans="1:23" ht="15.75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x14ac:dyDescent="0.25">
      <c r="A15" s="166" t="s">
        <v>10</v>
      </c>
      <c r="B15" s="161" t="s">
        <v>24</v>
      </c>
      <c r="C15" s="169" t="s">
        <v>25</v>
      </c>
      <c r="D15" s="117" t="s">
        <v>29</v>
      </c>
      <c r="E15" s="161" t="s">
        <v>11</v>
      </c>
      <c r="F15" s="161"/>
      <c r="G15" s="161" t="s">
        <v>12</v>
      </c>
      <c r="H15" s="161"/>
      <c r="I15" s="161" t="s">
        <v>13</v>
      </c>
      <c r="J15" s="161"/>
      <c r="K15" s="161" t="s">
        <v>14</v>
      </c>
      <c r="L15" s="161"/>
      <c r="M15" s="161" t="s">
        <v>15</v>
      </c>
      <c r="N15" s="161"/>
      <c r="O15" s="161" t="s">
        <v>16</v>
      </c>
      <c r="P15" s="161"/>
      <c r="Q15" s="161" t="s">
        <v>85</v>
      </c>
      <c r="R15" s="161"/>
      <c r="S15" s="161" t="s">
        <v>86</v>
      </c>
      <c r="T15" s="161"/>
      <c r="U15" s="161" t="s">
        <v>87</v>
      </c>
      <c r="V15" s="162"/>
      <c r="W15" s="97"/>
    </row>
    <row r="16" spans="1:23" x14ac:dyDescent="0.25">
      <c r="A16" s="167"/>
      <c r="B16" s="168"/>
      <c r="C16" s="170"/>
      <c r="D16" s="94" t="s">
        <v>30</v>
      </c>
      <c r="E16" s="14" t="s">
        <v>17</v>
      </c>
      <c r="F16" s="15" t="s">
        <v>18</v>
      </c>
      <c r="G16" s="14" t="s">
        <v>17</v>
      </c>
      <c r="H16" s="15" t="s">
        <v>18</v>
      </c>
      <c r="I16" s="14" t="s">
        <v>17</v>
      </c>
      <c r="J16" s="15" t="s">
        <v>18</v>
      </c>
      <c r="K16" s="14" t="s">
        <v>17</v>
      </c>
      <c r="L16" s="15" t="s">
        <v>18</v>
      </c>
      <c r="M16" s="14" t="s">
        <v>17</v>
      </c>
      <c r="N16" s="15" t="s">
        <v>18</v>
      </c>
      <c r="O16" s="14" t="s">
        <v>17</v>
      </c>
      <c r="P16" s="15" t="s">
        <v>18</v>
      </c>
      <c r="Q16" s="14" t="s">
        <v>17</v>
      </c>
      <c r="R16" s="15" t="s">
        <v>18</v>
      </c>
      <c r="S16" s="14" t="s">
        <v>17</v>
      </c>
      <c r="T16" s="15" t="s">
        <v>18</v>
      </c>
      <c r="U16" s="14" t="s">
        <v>17</v>
      </c>
      <c r="V16" s="118" t="s">
        <v>18</v>
      </c>
      <c r="W16" s="97"/>
    </row>
    <row r="17" spans="1:25" x14ac:dyDescent="0.25">
      <c r="A17" s="119">
        <v>1</v>
      </c>
      <c r="B17" s="16" t="str">
        <f>ORÇAMENTO!C11</f>
        <v>SERVIÇOS PRELIMINARES</v>
      </c>
      <c r="C17" s="17">
        <f>ORÇAMENTO!H11</f>
        <v>1769.85</v>
      </c>
      <c r="D17" s="25">
        <f>((C17*100)/$C$27)/100</f>
        <v>4.1484123008739819E-2</v>
      </c>
      <c r="E17" s="18">
        <v>100</v>
      </c>
      <c r="F17" s="17">
        <f t="shared" ref="F17:F21" si="0">E17</f>
        <v>100</v>
      </c>
      <c r="G17" s="18"/>
      <c r="H17" s="17">
        <f t="shared" ref="H17:H24" si="1">F17+G17</f>
        <v>100</v>
      </c>
      <c r="I17" s="18"/>
      <c r="J17" s="17">
        <f t="shared" ref="J17:J21" si="2">H17+I17</f>
        <v>100</v>
      </c>
      <c r="K17" s="18"/>
      <c r="L17" s="17">
        <f t="shared" ref="L17:L21" si="3">J17+K17</f>
        <v>100</v>
      </c>
      <c r="M17" s="18"/>
      <c r="N17" s="17">
        <f t="shared" ref="N17:N21" si="4">L17+M17</f>
        <v>100</v>
      </c>
      <c r="O17" s="19"/>
      <c r="P17" s="17">
        <f t="shared" ref="P17:P21" si="5">N17+O17</f>
        <v>100</v>
      </c>
      <c r="Q17" s="19"/>
      <c r="R17" s="17">
        <f t="shared" ref="R17:R21" si="6">P17+Q17</f>
        <v>100</v>
      </c>
      <c r="S17" s="19"/>
      <c r="T17" s="17">
        <f t="shared" ref="T17:T21" si="7">R17+S17</f>
        <v>100</v>
      </c>
      <c r="U17" s="19"/>
      <c r="V17" s="120">
        <f t="shared" ref="V17:V21" si="8">T17+U17</f>
        <v>100</v>
      </c>
      <c r="W17" s="98"/>
      <c r="Y17" t="str">
        <f t="shared" ref="Y17:Y21" si="9">IF(P17&lt;&gt;100,"REVER PERCENTUAL ATÉ ATINGIR 100%- CASO NECESSÁRIO","PERCENTUAL CORRETO")</f>
        <v>PERCENTUAL CORRETO</v>
      </c>
    </row>
    <row r="18" spans="1:25" x14ac:dyDescent="0.25">
      <c r="A18" s="119">
        <v>2</v>
      </c>
      <c r="B18" s="16" t="str">
        <f>ORÇAMENTO!C13</f>
        <v>PISO</v>
      </c>
      <c r="C18" s="17">
        <f>ORÇAMENTO!H13</f>
        <v>15738.54</v>
      </c>
      <c r="D18" s="25">
        <f>((C18*100)/$C$27)/100</f>
        <v>0.36890105338755946</v>
      </c>
      <c r="E18" s="18">
        <v>100</v>
      </c>
      <c r="F18" s="17">
        <f t="shared" si="0"/>
        <v>100</v>
      </c>
      <c r="G18" s="18"/>
      <c r="H18" s="17">
        <f t="shared" si="1"/>
        <v>100</v>
      </c>
      <c r="I18" s="18"/>
      <c r="J18" s="17">
        <f t="shared" si="2"/>
        <v>100</v>
      </c>
      <c r="K18" s="18"/>
      <c r="L18" s="17">
        <f t="shared" si="3"/>
        <v>100</v>
      </c>
      <c r="M18" s="18"/>
      <c r="N18" s="17">
        <f t="shared" si="4"/>
        <v>100</v>
      </c>
      <c r="O18" s="19"/>
      <c r="P18" s="17">
        <f t="shared" si="5"/>
        <v>100</v>
      </c>
      <c r="Q18" s="19"/>
      <c r="R18" s="17">
        <f t="shared" si="6"/>
        <v>100</v>
      </c>
      <c r="S18" s="19"/>
      <c r="T18" s="17">
        <f t="shared" si="7"/>
        <v>100</v>
      </c>
      <c r="U18" s="19"/>
      <c r="V18" s="120">
        <f t="shared" si="8"/>
        <v>100</v>
      </c>
      <c r="W18" s="98"/>
      <c r="Y18" t="str">
        <f t="shared" si="9"/>
        <v>PERCENTUAL CORRETO</v>
      </c>
    </row>
    <row r="19" spans="1:25" x14ac:dyDescent="0.25">
      <c r="A19" s="119">
        <v>3</v>
      </c>
      <c r="B19" s="16" t="str">
        <f>ORÇAMENTO!C19</f>
        <v>COBERTURA</v>
      </c>
      <c r="C19" s="17">
        <f>ORÇAMENTO!H19</f>
        <v>7843.72</v>
      </c>
      <c r="D19" s="25">
        <f>((C19*100)/$C$27)/100</f>
        <v>0.18385165145414173</v>
      </c>
      <c r="E19" s="18">
        <v>100</v>
      </c>
      <c r="F19" s="17">
        <f t="shared" si="0"/>
        <v>100</v>
      </c>
      <c r="G19" s="18"/>
      <c r="H19" s="17">
        <f t="shared" si="1"/>
        <v>100</v>
      </c>
      <c r="I19" s="18"/>
      <c r="J19" s="17">
        <f t="shared" si="2"/>
        <v>100</v>
      </c>
      <c r="K19" s="18"/>
      <c r="L19" s="17">
        <f t="shared" si="3"/>
        <v>100</v>
      </c>
      <c r="M19" s="18"/>
      <c r="N19" s="17">
        <f t="shared" si="4"/>
        <v>100</v>
      </c>
      <c r="O19" s="19"/>
      <c r="P19" s="17">
        <f t="shared" si="5"/>
        <v>100</v>
      </c>
      <c r="Q19" s="19"/>
      <c r="R19" s="17">
        <f t="shared" si="6"/>
        <v>100</v>
      </c>
      <c r="S19" s="19"/>
      <c r="T19" s="17">
        <f t="shared" si="7"/>
        <v>100</v>
      </c>
      <c r="U19" s="19"/>
      <c r="V19" s="120">
        <f t="shared" si="8"/>
        <v>100</v>
      </c>
      <c r="W19" s="98"/>
      <c r="Y19" t="str">
        <f t="shared" si="9"/>
        <v>PERCENTUAL CORRETO</v>
      </c>
    </row>
    <row r="20" spans="1:25" x14ac:dyDescent="0.25">
      <c r="A20" s="119">
        <v>4</v>
      </c>
      <c r="B20" s="16" t="str">
        <f>ORÇAMENTO!C22</f>
        <v>PINTURA EXTERNA</v>
      </c>
      <c r="C20" s="17">
        <f>ORÇAMENTO!H22</f>
        <v>7689.62</v>
      </c>
      <c r="D20" s="25">
        <f>((C20*100)/$C$27)/100</f>
        <v>0.18023964854110006</v>
      </c>
      <c r="E20" s="18"/>
      <c r="F20" s="17">
        <f t="shared" si="0"/>
        <v>0</v>
      </c>
      <c r="G20" s="18">
        <v>100</v>
      </c>
      <c r="H20" s="17">
        <f t="shared" si="1"/>
        <v>100</v>
      </c>
      <c r="I20" s="18"/>
      <c r="J20" s="17">
        <f t="shared" si="2"/>
        <v>100</v>
      </c>
      <c r="K20" s="18"/>
      <c r="L20" s="17">
        <f t="shared" si="3"/>
        <v>100</v>
      </c>
      <c r="M20" s="18"/>
      <c r="N20" s="17">
        <f t="shared" si="4"/>
        <v>100</v>
      </c>
      <c r="O20" s="19"/>
      <c r="P20" s="17">
        <f t="shared" si="5"/>
        <v>100</v>
      </c>
      <c r="Q20" s="19"/>
      <c r="R20" s="17">
        <f t="shared" si="6"/>
        <v>100</v>
      </c>
      <c r="S20" s="19"/>
      <c r="T20" s="17">
        <f t="shared" si="7"/>
        <v>100</v>
      </c>
      <c r="U20" s="19"/>
      <c r="V20" s="120">
        <f t="shared" si="8"/>
        <v>100</v>
      </c>
      <c r="W20" s="98"/>
      <c r="Y20" t="str">
        <f t="shared" si="9"/>
        <v>PERCENTUAL CORRETO</v>
      </c>
    </row>
    <row r="21" spans="1:25" x14ac:dyDescent="0.25">
      <c r="A21" s="119">
        <v>5</v>
      </c>
      <c r="B21" s="16" t="str">
        <f>ORÇAMENTO!C27</f>
        <v>COBERTURA CASA DE MÁQUINAS</v>
      </c>
      <c r="C21" s="17">
        <f>ORÇAMENTO!H27</f>
        <v>511.71000000000004</v>
      </c>
      <c r="D21" s="25">
        <f>((C21*100)/$C$27)/100</f>
        <v>1.1994146727012038E-2</v>
      </c>
      <c r="E21" s="18"/>
      <c r="F21" s="17">
        <f t="shared" si="0"/>
        <v>0</v>
      </c>
      <c r="G21" s="18">
        <v>100</v>
      </c>
      <c r="H21" s="17">
        <f t="shared" si="1"/>
        <v>100</v>
      </c>
      <c r="I21" s="18"/>
      <c r="J21" s="17">
        <f t="shared" si="2"/>
        <v>100</v>
      </c>
      <c r="K21" s="18"/>
      <c r="L21" s="17">
        <f t="shared" si="3"/>
        <v>100</v>
      </c>
      <c r="M21" s="18"/>
      <c r="N21" s="17">
        <f t="shared" si="4"/>
        <v>100</v>
      </c>
      <c r="O21" s="19"/>
      <c r="P21" s="17">
        <f t="shared" si="5"/>
        <v>100</v>
      </c>
      <c r="Q21" s="19"/>
      <c r="R21" s="17">
        <f t="shared" si="6"/>
        <v>100</v>
      </c>
      <c r="S21" s="19"/>
      <c r="T21" s="17">
        <f t="shared" si="7"/>
        <v>100</v>
      </c>
      <c r="U21" s="19"/>
      <c r="V21" s="120">
        <f t="shared" si="8"/>
        <v>100</v>
      </c>
      <c r="W21" s="98"/>
      <c r="Y21" t="str">
        <f t="shared" si="9"/>
        <v>PERCENTUAL CORRETO</v>
      </c>
    </row>
    <row r="22" spans="1:25" x14ac:dyDescent="0.25">
      <c r="A22" s="119">
        <v>6</v>
      </c>
      <c r="B22" s="16" t="str">
        <f>ORÇAMENTO!C30</f>
        <v>LIXEIRA EM ALVENARIA</v>
      </c>
      <c r="C22" s="17">
        <f>ORÇAMENTO!H30</f>
        <v>5016.53</v>
      </c>
      <c r="D22" s="25">
        <f>((C22*100)/$C$27)/100</f>
        <v>0.11758417244231635</v>
      </c>
      <c r="E22" s="18"/>
      <c r="F22" s="17"/>
      <c r="G22" s="18">
        <v>100</v>
      </c>
      <c r="H22" s="17">
        <f t="shared" si="1"/>
        <v>100</v>
      </c>
      <c r="I22" s="18"/>
      <c r="J22" s="17"/>
      <c r="K22" s="91"/>
      <c r="L22" s="17"/>
      <c r="M22" s="91"/>
      <c r="N22" s="17"/>
      <c r="O22" s="92"/>
      <c r="P22" s="17"/>
      <c r="Q22" s="92"/>
      <c r="R22" s="17"/>
      <c r="S22" s="92"/>
      <c r="T22" s="17"/>
      <c r="U22" s="92"/>
      <c r="V22" s="120"/>
      <c r="W22" s="98"/>
    </row>
    <row r="23" spans="1:25" x14ac:dyDescent="0.25">
      <c r="A23" s="119">
        <v>7</v>
      </c>
      <c r="B23" s="16" t="str">
        <f>ORÇAMENTO!C35</f>
        <v xml:space="preserve">PORTÃO EXTERNO </v>
      </c>
      <c r="C23" s="17">
        <f>ORÇAMENTO!H35</f>
        <v>2043.22</v>
      </c>
      <c r="D23" s="25">
        <f>((C23*100)/$C$27)/100</f>
        <v>4.7891736482706095E-2</v>
      </c>
      <c r="E23" s="18"/>
      <c r="F23" s="17"/>
      <c r="G23" s="18">
        <v>100</v>
      </c>
      <c r="H23" s="17">
        <f t="shared" si="1"/>
        <v>100</v>
      </c>
      <c r="I23" s="18"/>
      <c r="J23" s="17"/>
      <c r="K23" s="91"/>
      <c r="L23" s="17"/>
      <c r="M23" s="91"/>
      <c r="N23" s="17"/>
      <c r="O23" s="92"/>
      <c r="P23" s="17"/>
      <c r="Q23" s="92"/>
      <c r="R23" s="17"/>
      <c r="S23" s="92"/>
      <c r="T23" s="17"/>
      <c r="U23" s="92"/>
      <c r="V23" s="120"/>
      <c r="W23" s="98"/>
    </row>
    <row r="24" spans="1:25" x14ac:dyDescent="0.25">
      <c r="A24" s="119">
        <v>8</v>
      </c>
      <c r="B24" s="16" t="str">
        <f>ORÇAMENTO!C37</f>
        <v>RECUPERAÇÃO DE TRINCAS</v>
      </c>
      <c r="C24" s="17">
        <f>ORÇAMENTO!H37</f>
        <v>1543.1399999999999</v>
      </c>
      <c r="D24" s="25">
        <f>((C24*100)/$C$27)/100</f>
        <v>3.6170189326613429E-2</v>
      </c>
      <c r="E24" s="18"/>
      <c r="F24" s="17"/>
      <c r="G24" s="18">
        <v>100</v>
      </c>
      <c r="H24" s="17">
        <f t="shared" si="1"/>
        <v>100</v>
      </c>
      <c r="I24" s="18"/>
      <c r="J24" s="17"/>
      <c r="K24" s="91"/>
      <c r="L24" s="17"/>
      <c r="M24" s="91"/>
      <c r="N24" s="17"/>
      <c r="O24" s="92"/>
      <c r="P24" s="17"/>
      <c r="Q24" s="92"/>
      <c r="R24" s="17"/>
      <c r="S24" s="92"/>
      <c r="T24" s="17"/>
      <c r="U24" s="92"/>
      <c r="V24" s="120"/>
      <c r="W24" s="98"/>
    </row>
    <row r="25" spans="1:25" x14ac:dyDescent="0.25">
      <c r="A25" s="119">
        <v>9</v>
      </c>
      <c r="B25" s="16" t="str">
        <f>ORÇAMENTO!C41</f>
        <v>LIMPEZA FINAL DE OBRA</v>
      </c>
      <c r="C25" s="17">
        <f>ORÇAMENTO!H41</f>
        <v>506.98</v>
      </c>
      <c r="D25" s="25">
        <f>((C25*100)/$C$27)/100</f>
        <v>1.1883278629810954E-2</v>
      </c>
      <c r="E25" s="18"/>
      <c r="F25" s="17">
        <f t="shared" ref="F25" si="10">E25</f>
        <v>0</v>
      </c>
      <c r="G25" s="18">
        <v>100</v>
      </c>
      <c r="H25" s="17">
        <f t="shared" ref="H25" si="11">F25+G25</f>
        <v>100</v>
      </c>
      <c r="I25" s="18"/>
      <c r="J25" s="17">
        <f t="shared" ref="J25" si="12">H25+I25</f>
        <v>100</v>
      </c>
      <c r="K25" s="91"/>
      <c r="L25" s="17">
        <f t="shared" ref="L25" si="13">J25+K25</f>
        <v>100</v>
      </c>
      <c r="M25" s="91"/>
      <c r="N25" s="17">
        <f t="shared" ref="N25" si="14">L25+M25</f>
        <v>100</v>
      </c>
      <c r="O25" s="92"/>
      <c r="P25" s="17">
        <f t="shared" ref="P25" si="15">N25+O25</f>
        <v>100</v>
      </c>
      <c r="Q25" s="92"/>
      <c r="R25" s="17">
        <f t="shared" ref="R25" si="16">P25+Q25</f>
        <v>100</v>
      </c>
      <c r="S25" s="92"/>
      <c r="T25" s="17">
        <f t="shared" ref="T25" si="17">R25+S25</f>
        <v>100</v>
      </c>
      <c r="U25" s="92"/>
      <c r="V25" s="120">
        <f t="shared" ref="V25" si="18">T25+U25</f>
        <v>100</v>
      </c>
      <c r="W25" s="98"/>
    </row>
    <row r="26" spans="1:25" x14ac:dyDescent="0.25">
      <c r="A26" s="121"/>
      <c r="B26" s="20" t="s">
        <v>26</v>
      </c>
      <c r="C26" s="26">
        <f>C27/SUM(C17:C21)</f>
        <v>1.2715033093477153</v>
      </c>
      <c r="D26" s="26">
        <f>SUM(D17:D25)</f>
        <v>1</v>
      </c>
      <c r="E26" s="27">
        <f>(($D$17*E17)/100)+ (($D$18*E18)/100)+ (($D$19*E19)/100)+ (($D$20*E20)/100)+ (($D$21*E21)/100)</f>
        <v>0.59423682785044107</v>
      </c>
      <c r="F26" s="27">
        <f>E26</f>
        <v>0.59423682785044107</v>
      </c>
      <c r="G26" s="27">
        <f>(($D$17*G17)/100)+ (($D$18*G18)/100)+ (($D$19*G19)/100)+ (($D$20*G20)/100)+ (($D$21*G21)/100)+(($D$22*G22)/100)+(($D$23*G23)/100)+(($D$24*G24)/100)+(($D$25*G25)/100)</f>
        <v>0.40576317214955898</v>
      </c>
      <c r="H26" s="27">
        <f>F26+G26</f>
        <v>1</v>
      </c>
      <c r="I26" s="27"/>
      <c r="J26" s="27">
        <f>H26+I26</f>
        <v>1</v>
      </c>
      <c r="K26" s="27"/>
      <c r="L26" s="27">
        <f>J26+K26</f>
        <v>1</v>
      </c>
      <c r="M26" s="27"/>
      <c r="N26" s="27">
        <f>L26+M26</f>
        <v>1</v>
      </c>
      <c r="O26" s="27"/>
      <c r="P26" s="27">
        <f>N26+O26</f>
        <v>1</v>
      </c>
      <c r="Q26" s="27" t="e">
        <f>(($D$17*Q17)/100)+ (($D$18*Q18)/100)+ (($D$19*Q19)/100)+ (($D$20*Q20)/100)+ (($D$21*Q21)/100)+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R26" s="27" t="e">
        <f>P26+Q26</f>
        <v>#REF!</v>
      </c>
      <c r="S26" s="27" t="e">
        <f>(($D$17*S17)/100)+ (($D$18*S18)/100)+ (($D$19*S19)/100)+ (($D$20*S20)/100)+ (($D$21*S21)/100)+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T26" s="27" t="e">
        <f>R26+S26</f>
        <v>#REF!</v>
      </c>
      <c r="U26" s="27" t="e">
        <f>(($D$17*U17)/100)+ (($D$18*U18)/100)+ (($D$19*U19)/100)+ (($D$20*U20)/100)+ (($D$21*U21)/100)+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V26" s="27" t="e">
        <f>T26+U26</f>
        <v>#REF!</v>
      </c>
      <c r="W26" s="99"/>
    </row>
    <row r="27" spans="1:25" x14ac:dyDescent="0.25">
      <c r="A27" s="122"/>
      <c r="B27" s="22" t="s">
        <v>27</v>
      </c>
      <c r="C27" s="21">
        <f>SUM(C17:C25)</f>
        <v>42663.310000000005</v>
      </c>
      <c r="D27" s="26">
        <f>D26</f>
        <v>1</v>
      </c>
      <c r="E27" s="159">
        <f>($C$27*E26)</f>
        <v>25352.110000000004</v>
      </c>
      <c r="F27" s="159"/>
      <c r="G27" s="159">
        <f t="shared" ref="G27" si="19">($C$27*G26)</f>
        <v>17311.200000000004</v>
      </c>
      <c r="H27" s="159"/>
      <c r="I27" s="159">
        <f t="shared" ref="I27" si="20">($C$27*I26)</f>
        <v>0</v>
      </c>
      <c r="J27" s="159"/>
      <c r="K27" s="159">
        <f t="shared" ref="K27" si="21">($C$27*K26)</f>
        <v>0</v>
      </c>
      <c r="L27" s="159"/>
      <c r="M27" s="159">
        <f t="shared" ref="M27" si="22">($C$27*M26)</f>
        <v>0</v>
      </c>
      <c r="N27" s="159"/>
      <c r="O27" s="159">
        <f t="shared" ref="O27" si="23">($C$27*O26)</f>
        <v>0</v>
      </c>
      <c r="P27" s="159"/>
      <c r="Q27" s="159" t="e">
        <f t="shared" ref="Q27" si="24">($C$27*Q26)</f>
        <v>#REF!</v>
      </c>
      <c r="R27" s="159"/>
      <c r="S27" s="159" t="e">
        <f t="shared" ref="S27" si="25">($C$27*S26)</f>
        <v>#REF!</v>
      </c>
      <c r="T27" s="159"/>
      <c r="U27" s="159" t="e">
        <f t="shared" ref="U27" si="26">($C$27*U26)</f>
        <v>#REF!</v>
      </c>
      <c r="V27" s="163"/>
      <c r="W27" s="100"/>
    </row>
    <row r="28" spans="1:25" ht="15.75" thickBot="1" x14ac:dyDescent="0.3">
      <c r="A28" s="123"/>
      <c r="B28" s="124" t="s">
        <v>28</v>
      </c>
      <c r="C28" s="125"/>
      <c r="D28" s="125"/>
      <c r="E28" s="160">
        <f>E27</f>
        <v>25352.110000000004</v>
      </c>
      <c r="F28" s="160"/>
      <c r="G28" s="160">
        <f>G27+E28</f>
        <v>42663.310000000012</v>
      </c>
      <c r="H28" s="160"/>
      <c r="I28" s="160">
        <f t="shared" ref="I28" si="27">I27+G28</f>
        <v>42663.310000000012</v>
      </c>
      <c r="J28" s="160"/>
      <c r="K28" s="160">
        <f t="shared" ref="K28" si="28">K27+I28</f>
        <v>42663.310000000012</v>
      </c>
      <c r="L28" s="160"/>
      <c r="M28" s="160">
        <f t="shared" ref="M28" si="29">M27+K28</f>
        <v>42663.310000000012</v>
      </c>
      <c r="N28" s="160"/>
      <c r="O28" s="160">
        <f t="shared" ref="O28" si="30">O27+M28</f>
        <v>42663.310000000012</v>
      </c>
      <c r="P28" s="160"/>
      <c r="Q28" s="160" t="e">
        <f t="shared" ref="Q28" si="31">Q27+O28</f>
        <v>#REF!</v>
      </c>
      <c r="R28" s="160"/>
      <c r="S28" s="160" t="e">
        <f t="shared" ref="S28" si="32">S27+Q28</f>
        <v>#REF!</v>
      </c>
      <c r="T28" s="160"/>
      <c r="U28" s="160" t="e">
        <f t="shared" ref="U28" si="33">U27+S28</f>
        <v>#REF!</v>
      </c>
      <c r="V28" s="164"/>
      <c r="W28" s="100"/>
    </row>
    <row r="30" spans="1:25" x14ac:dyDescent="0.25">
      <c r="A30" s="93"/>
      <c r="B30" s="93"/>
      <c r="C30" s="24"/>
      <c r="D30" s="93"/>
      <c r="E30" s="93"/>
      <c r="F30" s="93"/>
      <c r="G30" s="93"/>
      <c r="H30" s="93"/>
      <c r="I30" s="93"/>
      <c r="J30" s="93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spans="1:25" x14ac:dyDescent="0.25">
      <c r="A31" s="24" t="s">
        <v>31</v>
      </c>
      <c r="B31" s="24"/>
      <c r="C31" s="24"/>
      <c r="D31" s="24" t="s">
        <v>69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</row>
    <row r="32" spans="1:25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</row>
    <row r="33" spans="1:23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  <row r="34" spans="1:23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</row>
    <row r="35" spans="1:23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</row>
    <row r="36" spans="1:23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</row>
    <row r="37" spans="1:23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</row>
    <row r="38" spans="1:23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</row>
    <row r="39" spans="1:23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</row>
  </sheetData>
  <sheetProtection algorithmName="SHA-512" hashValue="Dpr+3mMcLpotMdbHRhTZcezFw8J0Feny6s1FHJ2VYsEDvJSM+B/JZb+iw46rJE/ZmuKm0yoQ9AFVMifrAqLO9g==" saltValue="R7fYDoa+73pPETEkqp8Q6Q==" spinCount="100000" sheet="1" objects="1" scenarios="1" selectLockedCells="1"/>
  <mergeCells count="31">
    <mergeCell ref="A9:V9"/>
    <mergeCell ref="E27:F27"/>
    <mergeCell ref="G27:H27"/>
    <mergeCell ref="I27:J27"/>
    <mergeCell ref="K27:L27"/>
    <mergeCell ref="M27:N27"/>
    <mergeCell ref="K15:L15"/>
    <mergeCell ref="A15:A16"/>
    <mergeCell ref="E15:F15"/>
    <mergeCell ref="G15:H15"/>
    <mergeCell ref="I15:J15"/>
    <mergeCell ref="B15:B16"/>
    <mergeCell ref="C15:C16"/>
    <mergeCell ref="Q15:R15"/>
    <mergeCell ref="Q27:R27"/>
    <mergeCell ref="S15:T15"/>
    <mergeCell ref="E28:F28"/>
    <mergeCell ref="G28:H28"/>
    <mergeCell ref="I28:J28"/>
    <mergeCell ref="K28:L28"/>
    <mergeCell ref="M28:N28"/>
    <mergeCell ref="Q28:R28"/>
    <mergeCell ref="O28:P28"/>
    <mergeCell ref="M15:N15"/>
    <mergeCell ref="O15:P15"/>
    <mergeCell ref="O27:P27"/>
    <mergeCell ref="S27:T27"/>
    <mergeCell ref="S28:T28"/>
    <mergeCell ref="U15:V15"/>
    <mergeCell ref="U27:V27"/>
    <mergeCell ref="U28:V28"/>
  </mergeCells>
  <conditionalFormatting sqref="P17:P25 R17:R25 N17:N24 L17:L24 J17:J24 F17:F25 T17:T25 V17:V25 H17:H24">
    <cfRule type="cellIs" dxfId="7" priority="19" stopIfTrue="1" operator="equal">
      <formula>D17+F17-100</formula>
    </cfRule>
  </conditionalFormatting>
  <conditionalFormatting sqref="N25">
    <cfRule type="cellIs" dxfId="6" priority="18" stopIfTrue="1" operator="equal">
      <formula>L25+N25-100</formula>
    </cfRule>
  </conditionalFormatting>
  <conditionalFormatting sqref="L25">
    <cfRule type="cellIs" dxfId="5" priority="17" stopIfTrue="1" operator="equal">
      <formula>J25+L25-100</formula>
    </cfRule>
  </conditionalFormatting>
  <conditionalFormatting sqref="J25">
    <cfRule type="cellIs" dxfId="4" priority="16" stopIfTrue="1" operator="equal">
      <formula>H25+J25-100</formula>
    </cfRule>
  </conditionalFormatting>
  <conditionalFormatting sqref="H25">
    <cfRule type="cellIs" dxfId="3" priority="15" stopIfTrue="1" operator="equal">
      <formula>F25+H25-100</formula>
    </cfRule>
  </conditionalFormatting>
  <conditionalFormatting sqref="F17:F25 J17:J25 L17:L25 N17:N25 P17:P25 V17:W25 R17:R25 T17:T25 H17:H25">
    <cfRule type="cellIs" dxfId="2" priority="8" operator="equal">
      <formula>0</formula>
    </cfRule>
  </conditionalFormatting>
  <conditionalFormatting sqref="W17:W25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6" operator="containsText" id="{545466F1-51E7-4D0E-96E1-1A7BEA910F3D}">
            <xm:f>NOT(ISERROR(SEARCH(#REF!,Y17)))</xm:f>
            <xm:f>#REF!</xm:f>
            <x14:dxf>
              <font>
                <b/>
                <i val="0"/>
                <color rgb="FFFF0000"/>
              </font>
            </x14:dxf>
          </x14:cfRule>
          <xm:sqref>Y17:Y25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F25" sqref="F2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3"/>
      <c r="B1" s="43"/>
      <c r="C1" s="43"/>
      <c r="D1" s="43"/>
      <c r="E1" s="43"/>
    </row>
    <row r="2" spans="1:5" x14ac:dyDescent="0.25">
      <c r="A2" s="43"/>
      <c r="B2" s="43"/>
      <c r="C2" s="43"/>
      <c r="D2" s="43"/>
      <c r="E2" s="43"/>
    </row>
    <row r="3" spans="1:5" x14ac:dyDescent="0.25">
      <c r="A3" s="43"/>
      <c r="B3" s="43"/>
      <c r="C3" s="43"/>
      <c r="D3" s="43"/>
      <c r="E3" s="43"/>
    </row>
    <row r="4" spans="1:5" x14ac:dyDescent="0.25">
      <c r="A4" s="43"/>
      <c r="B4" s="43"/>
      <c r="C4" s="43"/>
      <c r="D4" s="43"/>
      <c r="E4" s="43"/>
    </row>
    <row r="5" spans="1:5" x14ac:dyDescent="0.25">
      <c r="A5" s="43"/>
      <c r="B5" s="43"/>
      <c r="C5" s="43"/>
      <c r="D5" s="43"/>
      <c r="E5" s="43"/>
    </row>
    <row r="6" spans="1:5" x14ac:dyDescent="0.25">
      <c r="A6" s="43"/>
      <c r="B6" s="43"/>
      <c r="C6" s="43"/>
      <c r="D6" s="43"/>
      <c r="E6" s="43"/>
    </row>
    <row r="7" spans="1:5" x14ac:dyDescent="0.25">
      <c r="A7" s="43"/>
      <c r="B7" s="43"/>
      <c r="C7" s="43"/>
      <c r="D7" s="43"/>
      <c r="E7" s="43"/>
    </row>
    <row r="8" spans="1:5" x14ac:dyDescent="0.25">
      <c r="A8" s="171" t="s">
        <v>63</v>
      </c>
      <c r="B8" s="171"/>
      <c r="C8" s="171"/>
      <c r="D8" s="43"/>
      <c r="E8" s="86" t="s">
        <v>64</v>
      </c>
    </row>
    <row r="9" spans="1:5" x14ac:dyDescent="0.25">
      <c r="A9" s="43"/>
      <c r="B9" s="87"/>
      <c r="C9" s="87"/>
      <c r="D9" s="87"/>
      <c r="E9" s="88" t="s">
        <v>65</v>
      </c>
    </row>
    <row r="10" spans="1:5" x14ac:dyDescent="0.25">
      <c r="A10" s="43"/>
      <c r="B10" s="43"/>
      <c r="C10" s="43"/>
      <c r="D10" s="43"/>
      <c r="E10" s="43"/>
    </row>
    <row r="11" spans="1:5" x14ac:dyDescent="0.25">
      <c r="A11" s="89" t="s">
        <v>32</v>
      </c>
      <c r="B11" s="89" t="s">
        <v>84</v>
      </c>
      <c r="C11" s="192" t="s">
        <v>33</v>
      </c>
      <c r="D11" s="193"/>
      <c r="E11" s="194"/>
    </row>
    <row r="12" spans="1:5" x14ac:dyDescent="0.25">
      <c r="A12" s="34"/>
      <c r="B12" s="34"/>
      <c r="C12" s="195" t="str">
        <f>Import.Município</f>
        <v>CORONEL VIVIDA - PR</v>
      </c>
      <c r="D12" s="196"/>
      <c r="E12" s="197"/>
    </row>
    <row r="13" spans="1:5" x14ac:dyDescent="0.25">
      <c r="A13" s="35"/>
      <c r="B13" s="35"/>
      <c r="C13" s="36"/>
      <c r="D13" s="37"/>
      <c r="E13" s="37"/>
    </row>
    <row r="14" spans="1:5" ht="15" customHeight="1" x14ac:dyDescent="0.25">
      <c r="A14" s="90" t="s">
        <v>34</v>
      </c>
      <c r="B14" s="184" t="str">
        <f>ORÇAMENTO!A7</f>
        <v>OBJETO: Reforma da Unidade Básica de Saúde - BNH</v>
      </c>
      <c r="C14" s="186" t="str">
        <f>ORÇAMENTO!A8</f>
        <v xml:space="preserve">LOCALIZAÇÃO: Rua José Foppa - Lote 01 Quadra 05 - Loteamento Vila Industrial </v>
      </c>
      <c r="D14" s="187"/>
      <c r="E14" s="188"/>
    </row>
    <row r="15" spans="1:5" ht="25.5" customHeight="1" x14ac:dyDescent="0.25">
      <c r="A15" s="38" t="s">
        <v>66</v>
      </c>
      <c r="B15" s="185"/>
      <c r="C15" s="189"/>
      <c r="D15" s="190"/>
      <c r="E15" s="191"/>
    </row>
    <row r="16" spans="1:5" x14ac:dyDescent="0.25">
      <c r="A16" s="39"/>
      <c r="B16" s="40"/>
      <c r="C16" s="41"/>
      <c r="D16" s="41"/>
      <c r="E16" s="40"/>
    </row>
    <row r="17" spans="1:12" x14ac:dyDescent="0.25">
      <c r="A17" s="42" t="s">
        <v>35</v>
      </c>
      <c r="B17" s="40"/>
      <c r="C17" s="41"/>
      <c r="D17" s="41"/>
      <c r="E17" s="40"/>
    </row>
    <row r="18" spans="1:12" x14ac:dyDescent="0.25">
      <c r="A18" s="199" t="s">
        <v>36</v>
      </c>
      <c r="B18" s="199"/>
      <c r="C18" s="199"/>
      <c r="D18" s="199"/>
      <c r="E18" s="199"/>
    </row>
    <row r="19" spans="1:12" x14ac:dyDescent="0.25">
      <c r="A19" s="43"/>
      <c r="B19" s="43"/>
      <c r="C19" s="43"/>
      <c r="D19" s="43"/>
      <c r="E19" s="43"/>
    </row>
    <row r="20" spans="1:12" ht="15.75" thickBot="1" x14ac:dyDescent="0.3">
      <c r="A20" s="44" t="s">
        <v>37</v>
      </c>
      <c r="B20" s="45"/>
      <c r="C20" s="45"/>
      <c r="D20" s="46" t="s">
        <v>38</v>
      </c>
      <c r="E20" s="46" t="s">
        <v>39</v>
      </c>
    </row>
    <row r="21" spans="1:12" ht="15" customHeight="1" thickBot="1" x14ac:dyDescent="0.3">
      <c r="A21" s="47" t="s">
        <v>40</v>
      </c>
      <c r="B21" s="48"/>
      <c r="C21" s="48"/>
      <c r="D21" s="49" t="s">
        <v>41</v>
      </c>
      <c r="E21" s="50">
        <v>4.5699999999999998E-2</v>
      </c>
      <c r="H21" s="181" t="s">
        <v>70</v>
      </c>
      <c r="I21" s="182"/>
      <c r="J21" s="182"/>
      <c r="K21" s="183"/>
    </row>
    <row r="22" spans="1:12" ht="15.75" x14ac:dyDescent="0.25">
      <c r="A22" s="51" t="s">
        <v>42</v>
      </c>
      <c r="B22" s="52"/>
      <c r="C22" s="52"/>
      <c r="D22" s="53" t="s">
        <v>43</v>
      </c>
      <c r="E22" s="54">
        <v>8.0000000000000002E-3</v>
      </c>
      <c r="H22" s="114" t="s">
        <v>71</v>
      </c>
      <c r="I22" s="115" t="s">
        <v>72</v>
      </c>
      <c r="J22" s="115" t="s">
        <v>73</v>
      </c>
      <c r="K22" s="116" t="s">
        <v>74</v>
      </c>
    </row>
    <row r="23" spans="1:12" ht="15.75" x14ac:dyDescent="0.25">
      <c r="A23" s="51" t="s">
        <v>44</v>
      </c>
      <c r="B23" s="52"/>
      <c r="C23" s="52"/>
      <c r="D23" s="53" t="s">
        <v>45</v>
      </c>
      <c r="E23" s="54">
        <v>1.2699999999999999E-2</v>
      </c>
      <c r="H23" s="107" t="s">
        <v>75</v>
      </c>
      <c r="I23" s="101">
        <v>0.03</v>
      </c>
      <c r="J23" s="102">
        <v>0.04</v>
      </c>
      <c r="K23" s="108">
        <v>5.5E-2</v>
      </c>
    </row>
    <row r="24" spans="1:12" ht="15.75" x14ac:dyDescent="0.25">
      <c r="A24" s="51" t="s">
        <v>46</v>
      </c>
      <c r="B24" s="52"/>
      <c r="C24" s="52"/>
      <c r="D24" s="53" t="s">
        <v>47</v>
      </c>
      <c r="E24" s="54">
        <v>1.23E-2</v>
      </c>
      <c r="H24" s="107" t="s">
        <v>76</v>
      </c>
      <c r="I24" s="103">
        <v>8.0000000000000002E-3</v>
      </c>
      <c r="J24" s="104">
        <v>8.0000000000000002E-3</v>
      </c>
      <c r="K24" s="109">
        <v>0.01</v>
      </c>
    </row>
    <row r="25" spans="1:12" ht="15.75" x14ac:dyDescent="0.25">
      <c r="A25" s="55" t="s">
        <v>48</v>
      </c>
      <c r="B25" s="56"/>
      <c r="C25" s="56"/>
      <c r="D25" s="53" t="s">
        <v>49</v>
      </c>
      <c r="E25" s="57">
        <v>7.3999999999999996E-2</v>
      </c>
      <c r="H25" s="107" t="s">
        <v>77</v>
      </c>
      <c r="I25" s="103">
        <v>9.7000000000000003E-3</v>
      </c>
      <c r="J25" s="104">
        <v>1.2699999999999999E-2</v>
      </c>
      <c r="K25" s="109">
        <v>1.2699999999999999E-2</v>
      </c>
    </row>
    <row r="26" spans="1:12" ht="15.75" x14ac:dyDescent="0.25">
      <c r="A26" s="55" t="s">
        <v>50</v>
      </c>
      <c r="B26" s="58" t="s">
        <v>51</v>
      </c>
      <c r="C26" s="59"/>
      <c r="D26" s="60" t="s">
        <v>52</v>
      </c>
      <c r="E26" s="57">
        <v>6.4999999999999997E-3</v>
      </c>
      <c r="H26" s="107" t="s">
        <v>78</v>
      </c>
      <c r="I26" s="103">
        <v>5.8999999999999999E-3</v>
      </c>
      <c r="J26" s="104">
        <v>1.23E-2</v>
      </c>
      <c r="K26" s="109">
        <v>1.3899999999999999E-2</v>
      </c>
    </row>
    <row r="27" spans="1:12" ht="16.5" thickBot="1" x14ac:dyDescent="0.3">
      <c r="A27" s="61"/>
      <c r="B27" s="58" t="s">
        <v>53</v>
      </c>
      <c r="C27" s="59"/>
      <c r="D27" s="60"/>
      <c r="E27" s="57">
        <v>0.03</v>
      </c>
      <c r="H27" s="107" t="s">
        <v>79</v>
      </c>
      <c r="I27" s="105">
        <v>6.1600000000000002E-2</v>
      </c>
      <c r="J27" s="106">
        <v>7.3999999999999996E-2</v>
      </c>
      <c r="K27" s="110">
        <v>8.9599999999999999E-2</v>
      </c>
    </row>
    <row r="28" spans="1:12" ht="15.75" x14ac:dyDescent="0.25">
      <c r="A28" s="61"/>
      <c r="B28" s="58" t="s">
        <v>54</v>
      </c>
      <c r="C28" s="59"/>
      <c r="D28" s="60"/>
      <c r="E28" s="62">
        <v>0.03</v>
      </c>
      <c r="H28" s="172" t="s">
        <v>81</v>
      </c>
      <c r="I28" s="173"/>
      <c r="J28" s="173"/>
      <c r="K28" s="174"/>
      <c r="L28" s="111">
        <v>3.6499999999999998E-2</v>
      </c>
    </row>
    <row r="29" spans="1:12" ht="15.75" x14ac:dyDescent="0.25">
      <c r="A29" s="61"/>
      <c r="B29" s="63" t="s">
        <v>55</v>
      </c>
      <c r="C29" s="65"/>
      <c r="D29" s="60"/>
      <c r="E29" s="66">
        <v>0</v>
      </c>
      <c r="H29" s="175" t="s">
        <v>82</v>
      </c>
      <c r="I29" s="176"/>
      <c r="J29" s="176"/>
      <c r="K29" s="177"/>
      <c r="L29" s="112">
        <v>0.03</v>
      </c>
    </row>
    <row r="30" spans="1:12" ht="16.5" thickBot="1" x14ac:dyDescent="0.3">
      <c r="A30" s="67" t="s">
        <v>56</v>
      </c>
      <c r="B30" s="67"/>
      <c r="C30" s="67"/>
      <c r="D30" s="67"/>
      <c r="E30" s="68">
        <f>IF(A18=" - Fornecimento de Materiais e Equipamentos (Aquisição direta)",0,ROUND((((1+SUM(E$21:E$23))*(1+E$24)*(1+E$25))/(1-SUM(E$26:E$28)))-1,4))</f>
        <v>0.24199999999999999</v>
      </c>
      <c r="H30" s="178" t="s">
        <v>80</v>
      </c>
      <c r="I30" s="179"/>
      <c r="J30" s="179"/>
      <c r="K30" s="180"/>
      <c r="L30" s="113">
        <v>4.4999999999999998E-2</v>
      </c>
    </row>
    <row r="31" spans="1:12" x14ac:dyDescent="0.25">
      <c r="A31" s="69" t="s">
        <v>57</v>
      </c>
      <c r="B31" s="70"/>
      <c r="C31" s="70"/>
      <c r="D31" s="70"/>
      <c r="E31" s="71">
        <f>IF(A18=" - Fornecimento de Materiais e Equipamentos (Aquisição direta)",0,ROUND((((1+SUM(E$21:E$23))*(1+E$24)*(1+E$25))/(1-SUM(E$26:E$29)))-1,4))</f>
        <v>0.24199999999999999</v>
      </c>
    </row>
    <row r="32" spans="1:12" x14ac:dyDescent="0.25">
      <c r="A32" s="43"/>
      <c r="B32" s="43"/>
      <c r="C32" s="43"/>
      <c r="D32" s="43"/>
      <c r="E32" s="43"/>
    </row>
    <row r="33" spans="1:5" x14ac:dyDescent="0.25">
      <c r="A33" s="43" t="s">
        <v>58</v>
      </c>
      <c r="B33" s="43"/>
      <c r="C33" s="43"/>
      <c r="D33" s="43"/>
      <c r="E33" s="43"/>
    </row>
    <row r="34" spans="1:5" x14ac:dyDescent="0.25">
      <c r="A34" s="43"/>
      <c r="B34" s="43"/>
      <c r="C34" s="43"/>
      <c r="D34" s="43"/>
      <c r="E34" s="43"/>
    </row>
    <row r="35" spans="1:5" x14ac:dyDescent="0.25">
      <c r="A35" s="200" t="str">
        <f>IF(AND(A18=" - Fornecimento de Materiais e Equipamentos (Aquisição direta)",E$31=0),"",IF(OR($AI$10&lt;$AK$10,$AI$10&gt;$AL$10)=TRUE(),$AK$21,""))</f>
        <v/>
      </c>
      <c r="B35" s="200"/>
      <c r="C35" s="200"/>
      <c r="D35" s="200"/>
      <c r="E35" s="200"/>
    </row>
    <row r="36" spans="1:5" x14ac:dyDescent="0.25">
      <c r="A36" s="72"/>
      <c r="B36" s="72"/>
      <c r="C36" s="72"/>
      <c r="D36" s="72"/>
      <c r="E36" s="72"/>
    </row>
    <row r="37" spans="1:5" ht="15.75" customHeight="1" x14ac:dyDescent="0.25">
      <c r="A37" s="201" t="s">
        <v>59</v>
      </c>
      <c r="B37" s="202"/>
      <c r="C37" s="202"/>
      <c r="D37" s="202"/>
      <c r="E37" s="73">
        <v>0.6</v>
      </c>
    </row>
    <row r="38" spans="1:5" x14ac:dyDescent="0.25">
      <c r="A38" s="201" t="s">
        <v>60</v>
      </c>
      <c r="B38" s="202"/>
      <c r="C38" s="202"/>
      <c r="D38" s="73">
        <v>0.05</v>
      </c>
      <c r="E38" s="72"/>
    </row>
    <row r="39" spans="1:5" x14ac:dyDescent="0.25">
      <c r="A39" s="74"/>
      <c r="B39" s="75"/>
      <c r="C39" s="75"/>
      <c r="D39" s="76"/>
      <c r="E39" s="77"/>
    </row>
    <row r="40" spans="1:5" x14ac:dyDescent="0.25">
      <c r="A40" s="203" t="s">
        <v>61</v>
      </c>
      <c r="B40" s="204"/>
      <c r="C40" s="204"/>
      <c r="D40" s="204"/>
      <c r="E40" s="204"/>
    </row>
    <row r="43" spans="1:5" x14ac:dyDescent="0.25">
      <c r="A43" s="78"/>
      <c r="B43" s="79"/>
      <c r="C43" s="80"/>
      <c r="D43" s="80"/>
      <c r="E43" s="80"/>
    </row>
    <row r="44" spans="1:5" x14ac:dyDescent="0.25">
      <c r="A44" s="64" t="s">
        <v>69</v>
      </c>
      <c r="B44" s="64"/>
      <c r="C44" s="56"/>
      <c r="D44" s="43"/>
      <c r="E44" s="43"/>
    </row>
    <row r="45" spans="1:5" x14ac:dyDescent="0.25">
      <c r="A45" s="198" t="s">
        <v>67</v>
      </c>
      <c r="B45" s="198"/>
      <c r="C45" s="198"/>
      <c r="D45" s="81" t="s">
        <v>62</v>
      </c>
      <c r="E45" s="82" t="s">
        <v>120</v>
      </c>
    </row>
    <row r="46" spans="1:5" x14ac:dyDescent="0.25">
      <c r="A46" s="198" t="s">
        <v>83</v>
      </c>
      <c r="B46" s="198"/>
      <c r="C46" s="198"/>
      <c r="D46" s="83"/>
      <c r="E46" s="83"/>
    </row>
    <row r="47" spans="1:5" x14ac:dyDescent="0.25">
      <c r="A47" s="83"/>
      <c r="B47" s="84"/>
      <c r="C47" s="85"/>
      <c r="D47" s="83"/>
      <c r="E47" s="83"/>
    </row>
  </sheetData>
  <sheetProtection algorithmName="SHA-512" hashValue="n9nwqyP8Nt72Cr0m3PS7Ewz6RqJubE2qxcfCUAte2OrZ3PhhUZWnofOVSQ/VnL07OZr9j258oT9ye279SIjDIQ==" saltValue="Wrb7IrbAGPxtxg5Ir+G44Q==" spinCount="100000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2</cp:lastModifiedBy>
  <cp:lastPrinted>2019-06-12T17:29:23Z</cp:lastPrinted>
  <dcterms:created xsi:type="dcterms:W3CDTF">2013-05-17T17:26:46Z</dcterms:created>
  <dcterms:modified xsi:type="dcterms:W3CDTF">2022-07-28T11:58:19Z</dcterms:modified>
</cp:coreProperties>
</file>